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use\Desktop\Polanka\Polanka revize září 2023\02_Soupis_stavebnich_praci_dodavek_a_sluzeb\02_Soupis_stavebnich_praci_dodavek_a_sluzeb\"/>
    </mc:Choice>
  </mc:AlternateContent>
  <xr:revisionPtr revIDLastSave="0" documentId="13_ncr:1_{A9F2764D-3F08-48CA-AD7F-3FDA12B5D9D4}" xr6:coauthVersionLast="47" xr6:coauthVersionMax="47" xr10:uidLastSave="{00000000-0000-0000-0000-000000000000}"/>
  <bookViews>
    <workbookView xWindow="-28920" yWindow="555" windowWidth="29040" windowHeight="15720" activeTab="7" xr2:uid="{00000000-000D-0000-FFFF-FFFF00000000}"/>
  </bookViews>
  <sheets>
    <sheet name="Stavba" sheetId="1" r:id="rId1"/>
    <sheet name="VzorPolozky" sheetId="10" state="hidden" r:id="rId2"/>
    <sheet name="SO 11 D1.1 + D1.2 Pol" sheetId="14" r:id="rId3"/>
    <sheet name="SO 11 D 1.4 Pol" sheetId="12" r:id="rId4"/>
    <sheet name="D 1.4.1 ZTI" sheetId="15" r:id="rId5"/>
    <sheet name="D 1.4.2 Elektroinstalace" sheetId="16" r:id="rId6"/>
    <sheet name="D 1.4.4 Vzduchotechnika" sheetId="17" r:id="rId7"/>
    <sheet name="D 1.4.5 Slaboproud" sheetId="18" r:id="rId8"/>
    <sheet name="SO 11 D 1.5 Pol" sheetId="13" r:id="rId9"/>
  </sheets>
  <externalReferences>
    <externalReference r:id="rId10"/>
  </externalReferences>
  <definedNames>
    <definedName name="CelkemDPHVypocet" localSheetId="0">Stavba!$H$44</definedName>
    <definedName name="CenaCelkem">Stavba!$G$29</definedName>
    <definedName name="CenaCelkemBezDPH">Stavba!$G$28</definedName>
    <definedName name="CenaCelkemVypocet" localSheetId="0">Stavba!$I$44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3">'SO 11 D 1.4 Pol'!$1:$7</definedName>
    <definedName name="_xlnm.Print_Titles" localSheetId="8">'SO 11 D 1.5 Pol'!$1:$7</definedName>
    <definedName name="_xlnm.Print_Titles" localSheetId="2">'SO 11 D1.1 + D1.2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3">'SO 11 D 1.4 Pol'!$A$1:$Y$24</definedName>
    <definedName name="_xlnm.Print_Area" localSheetId="8">'SO 11 D 1.5 Pol'!$A$1:$Y$37</definedName>
    <definedName name="_xlnm.Print_Area" localSheetId="2">'SO 11 D1.1 + D1.2 Pol'!$A$1:$Y$361</definedName>
    <definedName name="_xlnm.Print_Area" localSheetId="0">Stavba!$A$1:$J$81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Stavba!$F$44</definedName>
    <definedName name="ZakladDPHZakl">Stavba!$G$25</definedName>
    <definedName name="ZakladDPHZaklVypocet" localSheetId="0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18" l="1"/>
  <c r="G18" i="16"/>
  <c r="E136" i="14"/>
  <c r="O103" i="14"/>
  <c r="E158" i="14" s="1"/>
  <c r="O57" i="14"/>
  <c r="E185" i="14"/>
  <c r="E184" i="14" s="1"/>
  <c r="E180" i="14"/>
  <c r="E175" i="14"/>
  <c r="E173" i="14" s="1"/>
  <c r="E178" i="14"/>
  <c r="E176" i="14" s="1"/>
  <c r="E44" i="14"/>
  <c r="O44" i="14" s="1"/>
  <c r="E130" i="14" s="1"/>
  <c r="E43" i="14"/>
  <c r="G43" i="14" s="1"/>
  <c r="G44" i="14" l="1"/>
  <c r="O43" i="14"/>
  <c r="E129" i="14" s="1"/>
  <c r="E37" i="14" l="1"/>
  <c r="E35" i="14"/>
  <c r="E34" i="14" s="1"/>
  <c r="E33" i="14"/>
  <c r="E32" i="14" s="1"/>
  <c r="E28" i="14"/>
  <c r="E27" i="14" s="1"/>
  <c r="E29" i="14" s="1"/>
  <c r="E26" i="14"/>
  <c r="E25" i="14" s="1"/>
  <c r="E12" i="14"/>
  <c r="E10" i="14"/>
  <c r="E9" i="14" s="1"/>
  <c r="E15" i="14"/>
  <c r="E14" i="14" s="1"/>
  <c r="G14" i="14" l="1"/>
  <c r="E16" i="14"/>
  <c r="G16" i="14" s="1"/>
  <c r="E11" i="14" l="1"/>
  <c r="G298" i="14"/>
  <c r="G297" i="14"/>
  <c r="G294" i="14"/>
  <c r="G295" i="14"/>
  <c r="G296" i="14"/>
  <c r="I39" i="16"/>
  <c r="I40" i="16"/>
  <c r="I41" i="16"/>
  <c r="I42" i="16"/>
  <c r="I43" i="16"/>
  <c r="I38" i="16"/>
  <c r="G39" i="16"/>
  <c r="G40" i="16"/>
  <c r="G41" i="16"/>
  <c r="K41" i="16" s="1"/>
  <c r="G42" i="16"/>
  <c r="G43" i="16"/>
  <c r="G38" i="16"/>
  <c r="I35" i="16"/>
  <c r="I36" i="16"/>
  <c r="I34" i="16"/>
  <c r="G35" i="16"/>
  <c r="G36" i="16"/>
  <c r="G34" i="16"/>
  <c r="I30" i="16"/>
  <c r="I31" i="16"/>
  <c r="I32" i="16"/>
  <c r="I29" i="16"/>
  <c r="G30" i="16"/>
  <c r="G31" i="16"/>
  <c r="G32" i="16"/>
  <c r="G29" i="16"/>
  <c r="I26" i="16"/>
  <c r="I27" i="16"/>
  <c r="I25" i="16"/>
  <c r="I24" i="16" s="1"/>
  <c r="G26" i="16"/>
  <c r="G27" i="16"/>
  <c r="K27" i="16" s="1"/>
  <c r="G25" i="16"/>
  <c r="I19" i="16"/>
  <c r="I20" i="16"/>
  <c r="I21" i="16"/>
  <c r="I22" i="16"/>
  <c r="I23" i="16"/>
  <c r="I18" i="16"/>
  <c r="G19" i="16"/>
  <c r="G20" i="16"/>
  <c r="G21" i="16"/>
  <c r="G22" i="16"/>
  <c r="K22" i="16" s="1"/>
  <c r="G23" i="16"/>
  <c r="I12" i="16"/>
  <c r="I13" i="16"/>
  <c r="I14" i="16"/>
  <c r="I15" i="16"/>
  <c r="I16" i="16"/>
  <c r="I11" i="16"/>
  <c r="G12" i="16"/>
  <c r="G13" i="16"/>
  <c r="G14" i="16"/>
  <c r="G15" i="16"/>
  <c r="G16" i="16"/>
  <c r="G11" i="16"/>
  <c r="I9" i="16"/>
  <c r="I8" i="16" s="1"/>
  <c r="G9" i="16"/>
  <c r="G8" i="16" s="1"/>
  <c r="IS122" i="15"/>
  <c r="IR122" i="15"/>
  <c r="IS121" i="15"/>
  <c r="IR121" i="15"/>
  <c r="IS120" i="15"/>
  <c r="IR120" i="15"/>
  <c r="K120" i="15" s="1"/>
  <c r="IS119" i="15"/>
  <c r="IR119" i="15"/>
  <c r="IS118" i="15"/>
  <c r="IR118" i="15"/>
  <c r="K118" i="15" s="1"/>
  <c r="IS117" i="15"/>
  <c r="IR117" i="15"/>
  <c r="IS116" i="15"/>
  <c r="IR116" i="15"/>
  <c r="IS115" i="15"/>
  <c r="IR115" i="15"/>
  <c r="IS114" i="15"/>
  <c r="IR114" i="15"/>
  <c r="K114" i="15" s="1"/>
  <c r="IS113" i="15"/>
  <c r="IR113" i="15"/>
  <c r="IS112" i="15"/>
  <c r="IR112" i="15"/>
  <c r="K112" i="15" s="1"/>
  <c r="IS111" i="15"/>
  <c r="IR111" i="15"/>
  <c r="IS110" i="15"/>
  <c r="IR110" i="15"/>
  <c r="K110" i="15" s="1"/>
  <c r="IS109" i="15"/>
  <c r="IR109" i="15"/>
  <c r="IS108" i="15"/>
  <c r="IR108" i="15"/>
  <c r="IS107" i="15"/>
  <c r="IR107" i="15"/>
  <c r="IS106" i="15"/>
  <c r="IR106" i="15"/>
  <c r="K106" i="15" s="1"/>
  <c r="IS105" i="15"/>
  <c r="IR105" i="15"/>
  <c r="IS104" i="15"/>
  <c r="IR104" i="15"/>
  <c r="K104" i="15" s="1"/>
  <c r="IS103" i="15"/>
  <c r="IR103" i="15"/>
  <c r="IS102" i="15"/>
  <c r="IR102" i="15"/>
  <c r="K102" i="15" s="1"/>
  <c r="IS101" i="15"/>
  <c r="IR101" i="15"/>
  <c r="IS100" i="15"/>
  <c r="IR100" i="15"/>
  <c r="IS99" i="15"/>
  <c r="IR99" i="15"/>
  <c r="IS98" i="15"/>
  <c r="IR98" i="15"/>
  <c r="K98" i="15" s="1"/>
  <c r="IS97" i="15"/>
  <c r="IR97" i="15"/>
  <c r="IS96" i="15"/>
  <c r="IR96" i="15"/>
  <c r="K96" i="15" s="1"/>
  <c r="IS95" i="15"/>
  <c r="IR95" i="15"/>
  <c r="IS94" i="15"/>
  <c r="IR94" i="15"/>
  <c r="IS93" i="15"/>
  <c r="IR93" i="15"/>
  <c r="K93" i="15" s="1"/>
  <c r="IS92" i="15"/>
  <c r="IR92" i="15"/>
  <c r="IS91" i="15"/>
  <c r="IR91" i="15"/>
  <c r="IS90" i="15"/>
  <c r="IR90" i="15"/>
  <c r="IS89" i="15"/>
  <c r="IR89" i="15"/>
  <c r="IS87" i="15"/>
  <c r="IR87" i="15"/>
  <c r="IS86" i="15"/>
  <c r="IR86" i="15"/>
  <c r="IS85" i="15"/>
  <c r="IR85" i="15"/>
  <c r="K85" i="15" s="1"/>
  <c r="IS84" i="15"/>
  <c r="IR84" i="15"/>
  <c r="IS83" i="15"/>
  <c r="IR83" i="15"/>
  <c r="K83" i="15" s="1"/>
  <c r="IS82" i="15"/>
  <c r="IR82" i="15"/>
  <c r="IS81" i="15"/>
  <c r="IR81" i="15"/>
  <c r="IS80" i="15"/>
  <c r="IR80" i="15"/>
  <c r="IS79" i="15"/>
  <c r="IR79" i="15"/>
  <c r="IS78" i="15"/>
  <c r="IR78" i="15"/>
  <c r="IS77" i="15"/>
  <c r="IR77" i="15"/>
  <c r="IS76" i="15"/>
  <c r="IR76" i="15"/>
  <c r="K76" i="15" s="1"/>
  <c r="IS75" i="15"/>
  <c r="IR75" i="15"/>
  <c r="K75" i="15" s="1"/>
  <c r="IS74" i="15"/>
  <c r="IR74" i="15"/>
  <c r="IS73" i="15"/>
  <c r="IR73" i="15"/>
  <c r="K73" i="15" s="1"/>
  <c r="IS72" i="15"/>
  <c r="IR72" i="15"/>
  <c r="K72" i="15" s="1"/>
  <c r="IS71" i="15"/>
  <c r="IR71" i="15"/>
  <c r="IS70" i="15"/>
  <c r="IR70" i="15"/>
  <c r="IS69" i="15"/>
  <c r="IR69" i="15"/>
  <c r="K69" i="15" s="1"/>
  <c r="IS68" i="15"/>
  <c r="IR68" i="15"/>
  <c r="IS67" i="15"/>
  <c r="IR67" i="15"/>
  <c r="K67" i="15" s="1"/>
  <c r="IS66" i="15"/>
  <c r="IR66" i="15"/>
  <c r="IS65" i="15"/>
  <c r="IR65" i="15"/>
  <c r="IS64" i="15"/>
  <c r="IR64" i="15"/>
  <c r="IS63" i="15"/>
  <c r="IR63" i="15"/>
  <c r="IS62" i="15"/>
  <c r="IR62" i="15"/>
  <c r="IS61" i="15"/>
  <c r="IR61" i="15"/>
  <c r="K61" i="15" s="1"/>
  <c r="IS60" i="15"/>
  <c r="IR60" i="15"/>
  <c r="IS58" i="15"/>
  <c r="IR58" i="15"/>
  <c r="IS57" i="15"/>
  <c r="IR57" i="15"/>
  <c r="IS56" i="15"/>
  <c r="IR56" i="15"/>
  <c r="IS55" i="15"/>
  <c r="IR55" i="15"/>
  <c r="IS54" i="15"/>
  <c r="IR54" i="15"/>
  <c r="K54" i="15" s="1"/>
  <c r="IS53" i="15"/>
  <c r="IR53" i="15"/>
  <c r="IS52" i="15"/>
  <c r="IR52" i="15"/>
  <c r="K52" i="15" s="1"/>
  <c r="IS51" i="15"/>
  <c r="IR51" i="15"/>
  <c r="IS50" i="15"/>
  <c r="IR50" i="15"/>
  <c r="K50" i="15" s="1"/>
  <c r="IS49" i="15"/>
  <c r="IR49" i="15"/>
  <c r="IS48" i="15"/>
  <c r="IR48" i="15"/>
  <c r="IS47" i="15"/>
  <c r="IR47" i="15"/>
  <c r="IS46" i="15"/>
  <c r="IR46" i="15"/>
  <c r="IS45" i="15"/>
  <c r="IR45" i="15"/>
  <c r="K45" i="15" s="1"/>
  <c r="IS44" i="15"/>
  <c r="IR44" i="15"/>
  <c r="IS43" i="15"/>
  <c r="IR43" i="15"/>
  <c r="K43" i="15" s="1"/>
  <c r="IS42" i="15"/>
  <c r="IR42" i="15"/>
  <c r="IS41" i="15"/>
  <c r="IR41" i="15"/>
  <c r="IS39" i="15"/>
  <c r="IR39" i="15"/>
  <c r="IS38" i="15"/>
  <c r="IR38" i="15"/>
  <c r="K38" i="15" s="1"/>
  <c r="IS37" i="15"/>
  <c r="IR37" i="15"/>
  <c r="IS36" i="15"/>
  <c r="IR36" i="15"/>
  <c r="IS35" i="15"/>
  <c r="IR35" i="15"/>
  <c r="IS34" i="15"/>
  <c r="IR34" i="15"/>
  <c r="IS33" i="15"/>
  <c r="IR33" i="15"/>
  <c r="IS32" i="15"/>
  <c r="IR32" i="15"/>
  <c r="IS31" i="15"/>
  <c r="IR31" i="15"/>
  <c r="K31" i="15" s="1"/>
  <c r="IS30" i="15"/>
  <c r="IR30" i="15"/>
  <c r="IS29" i="15"/>
  <c r="IR29" i="15"/>
  <c r="IS28" i="15"/>
  <c r="IR28" i="15"/>
  <c r="K28" i="15" s="1"/>
  <c r="IS27" i="15"/>
  <c r="IR27" i="15"/>
  <c r="K27" i="15" s="1"/>
  <c r="IS26" i="15"/>
  <c r="IR26" i="15"/>
  <c r="IS24" i="15"/>
  <c r="IR24" i="15"/>
  <c r="IS23" i="15"/>
  <c r="IR23" i="15"/>
  <c r="K23" i="15" s="1"/>
  <c r="IS22" i="15"/>
  <c r="IR22" i="15"/>
  <c r="K22" i="15" s="1"/>
  <c r="IS21" i="15"/>
  <c r="IR21" i="15"/>
  <c r="K21" i="15" s="1"/>
  <c r="IS19" i="15"/>
  <c r="IR19" i="15"/>
  <c r="IS18" i="15"/>
  <c r="IR18" i="15"/>
  <c r="K18" i="15" s="1"/>
  <c r="IS17" i="15"/>
  <c r="IR17" i="15"/>
  <c r="IS16" i="15"/>
  <c r="IR16" i="15"/>
  <c r="IS15" i="15"/>
  <c r="IR15" i="15"/>
  <c r="IS14" i="15"/>
  <c r="IR14" i="15"/>
  <c r="IS13" i="15"/>
  <c r="IR13" i="15"/>
  <c r="K13" i="15" s="1"/>
  <c r="IS12" i="15"/>
  <c r="IR12" i="15"/>
  <c r="IS11" i="15"/>
  <c r="IR11" i="15"/>
  <c r="IS10" i="15"/>
  <c r="IR10" i="15"/>
  <c r="IS9" i="15"/>
  <c r="IR9" i="15"/>
  <c r="IS8" i="15"/>
  <c r="IR8" i="15"/>
  <c r="IS7" i="15"/>
  <c r="IR7" i="15"/>
  <c r="IS6" i="15"/>
  <c r="IR6" i="15"/>
  <c r="IS5" i="15"/>
  <c r="IR5" i="15"/>
  <c r="K5" i="15" s="1"/>
  <c r="IS4" i="15"/>
  <c r="IR4" i="15"/>
  <c r="H64" i="18"/>
  <c r="H61" i="18"/>
  <c r="F61" i="18"/>
  <c r="H60" i="18"/>
  <c r="F60" i="18"/>
  <c r="H59" i="18"/>
  <c r="F59" i="18"/>
  <c r="H58" i="18"/>
  <c r="F58" i="18"/>
  <c r="H57" i="18"/>
  <c r="F57" i="18"/>
  <c r="H56" i="18"/>
  <c r="F56" i="18"/>
  <c r="H55" i="18"/>
  <c r="F55" i="18"/>
  <c r="H54" i="18"/>
  <c r="F54" i="18"/>
  <c r="H53" i="18"/>
  <c r="F53" i="18"/>
  <c r="H52" i="18"/>
  <c r="F52" i="18"/>
  <c r="H51" i="18"/>
  <c r="F51" i="18"/>
  <c r="H50" i="18"/>
  <c r="F50" i="18"/>
  <c r="H49" i="18"/>
  <c r="F49" i="18"/>
  <c r="H48" i="18"/>
  <c r="F48" i="18"/>
  <c r="H47" i="18"/>
  <c r="F47" i="18"/>
  <c r="H46" i="18"/>
  <c r="F46" i="18"/>
  <c r="H42" i="18"/>
  <c r="F42" i="18"/>
  <c r="H41" i="18"/>
  <c r="F41" i="18"/>
  <c r="H40" i="18"/>
  <c r="F40" i="18"/>
  <c r="H39" i="18"/>
  <c r="F39" i="18"/>
  <c r="H38" i="18"/>
  <c r="F38" i="18"/>
  <c r="H37" i="18"/>
  <c r="F37" i="18"/>
  <c r="H36" i="18"/>
  <c r="F36" i="18"/>
  <c r="H35" i="18"/>
  <c r="F35" i="18"/>
  <c r="H34" i="18"/>
  <c r="F34" i="18"/>
  <c r="H33" i="18"/>
  <c r="F33" i="18"/>
  <c r="H32" i="18"/>
  <c r="F32" i="18"/>
  <c r="H31" i="18"/>
  <c r="F31" i="18"/>
  <c r="H30" i="18"/>
  <c r="F30" i="18"/>
  <c r="H29" i="18"/>
  <c r="F29" i="18"/>
  <c r="H28" i="18"/>
  <c r="F28" i="18"/>
  <c r="H27" i="18"/>
  <c r="F27" i="18"/>
  <c r="H26" i="18"/>
  <c r="F26" i="18"/>
  <c r="H25" i="18"/>
  <c r="F25" i="18"/>
  <c r="H24" i="18"/>
  <c r="F24" i="18"/>
  <c r="H23" i="18"/>
  <c r="F23" i="18"/>
  <c r="H22" i="18"/>
  <c r="F22" i="18"/>
  <c r="H21" i="18"/>
  <c r="F21" i="18"/>
  <c r="H20" i="18"/>
  <c r="F20" i="18"/>
  <c r="H19" i="18"/>
  <c r="F19" i="18"/>
  <c r="H18" i="18"/>
  <c r="F18" i="18"/>
  <c r="H17" i="18"/>
  <c r="F17" i="18"/>
  <c r="H16" i="18"/>
  <c r="F16" i="18"/>
  <c r="H15" i="18"/>
  <c r="F15" i="18"/>
  <c r="H14" i="18"/>
  <c r="F14" i="18"/>
  <c r="H13" i="18"/>
  <c r="F13" i="18"/>
  <c r="H12" i="18"/>
  <c r="F12" i="18"/>
  <c r="H11" i="18"/>
  <c r="F11" i="18"/>
  <c r="H10" i="18"/>
  <c r="F10" i="18"/>
  <c r="H9" i="18"/>
  <c r="F9" i="18"/>
  <c r="H8" i="18"/>
  <c r="F8" i="18"/>
  <c r="H7" i="18"/>
  <c r="F7" i="18"/>
  <c r="H6" i="18"/>
  <c r="F6" i="18"/>
  <c r="H5" i="18"/>
  <c r="F5" i="18"/>
  <c r="I69" i="17"/>
  <c r="G69" i="17"/>
  <c r="I68" i="17"/>
  <c r="G68" i="17"/>
  <c r="I67" i="17"/>
  <c r="G67" i="17"/>
  <c r="I66" i="17"/>
  <c r="G66" i="17"/>
  <c r="I56" i="17"/>
  <c r="G56" i="17"/>
  <c r="I52" i="17"/>
  <c r="G52" i="17"/>
  <c r="I51" i="17"/>
  <c r="G51" i="17"/>
  <c r="I49" i="17"/>
  <c r="G49" i="17"/>
  <c r="I48" i="17"/>
  <c r="G48" i="17"/>
  <c r="I45" i="17"/>
  <c r="G45" i="17"/>
  <c r="I44" i="17"/>
  <c r="G44" i="17"/>
  <c r="BA269" i="14"/>
  <c r="G9" i="14"/>
  <c r="M9" i="14" s="1"/>
  <c r="I9" i="14"/>
  <c r="K9" i="14"/>
  <c r="O9" i="14"/>
  <c r="Q9" i="14"/>
  <c r="V9" i="14"/>
  <c r="G18" i="14"/>
  <c r="M18" i="14" s="1"/>
  <c r="I18" i="14"/>
  <c r="K18" i="14"/>
  <c r="O18" i="14"/>
  <c r="Q18" i="14"/>
  <c r="V18" i="14"/>
  <c r="G20" i="14"/>
  <c r="I20" i="14"/>
  <c r="K20" i="14"/>
  <c r="O20" i="14"/>
  <c r="Q20" i="14"/>
  <c r="V20" i="14"/>
  <c r="G21" i="14"/>
  <c r="M21" i="14" s="1"/>
  <c r="I21" i="14"/>
  <c r="K21" i="14"/>
  <c r="O21" i="14"/>
  <c r="Q21" i="14"/>
  <c r="V21" i="14"/>
  <c r="G22" i="14"/>
  <c r="M22" i="14" s="1"/>
  <c r="I22" i="14"/>
  <c r="K22" i="14"/>
  <c r="O22" i="14"/>
  <c r="Q22" i="14"/>
  <c r="V22" i="14"/>
  <c r="G23" i="14"/>
  <c r="M23" i="14" s="1"/>
  <c r="I23" i="14"/>
  <c r="K23" i="14"/>
  <c r="O23" i="14"/>
  <c r="Q23" i="14"/>
  <c r="V23" i="14"/>
  <c r="G25" i="14"/>
  <c r="M25" i="14" s="1"/>
  <c r="I25" i="14"/>
  <c r="K25" i="14"/>
  <c r="O25" i="14"/>
  <c r="E122" i="14" s="1"/>
  <c r="Q25" i="14"/>
  <c r="V25" i="14"/>
  <c r="G27" i="14"/>
  <c r="M27" i="14" s="1"/>
  <c r="I27" i="14"/>
  <c r="K27" i="14"/>
  <c r="O27" i="14"/>
  <c r="E123" i="14" s="1"/>
  <c r="Q27" i="14"/>
  <c r="V27" i="14"/>
  <c r="G29" i="14"/>
  <c r="M29" i="14" s="1"/>
  <c r="I29" i="14"/>
  <c r="K29" i="14"/>
  <c r="O29" i="14"/>
  <c r="Q29" i="14"/>
  <c r="V29" i="14"/>
  <c r="G32" i="14"/>
  <c r="M32" i="14" s="1"/>
  <c r="I32" i="14"/>
  <c r="K32" i="14"/>
  <c r="O32" i="14"/>
  <c r="E124" i="14" s="1"/>
  <c r="Q32" i="14"/>
  <c r="V32" i="14"/>
  <c r="G34" i="14"/>
  <c r="M34" i="14" s="1"/>
  <c r="I34" i="14"/>
  <c r="K34" i="14"/>
  <c r="O34" i="14"/>
  <c r="E125" i="14" s="1"/>
  <c r="Q34" i="14"/>
  <c r="V34" i="14"/>
  <c r="G36" i="14"/>
  <c r="M36" i="14" s="1"/>
  <c r="I36" i="14"/>
  <c r="K36" i="14"/>
  <c r="O36" i="14"/>
  <c r="E126" i="14" s="1"/>
  <c r="Q36" i="14"/>
  <c r="V36" i="14"/>
  <c r="G38" i="14"/>
  <c r="M38" i="14" s="1"/>
  <c r="I38" i="14"/>
  <c r="K38" i="14"/>
  <c r="O38" i="14"/>
  <c r="E127" i="14" s="1"/>
  <c r="Q38" i="14"/>
  <c r="V38" i="14"/>
  <c r="G41" i="14"/>
  <c r="M41" i="14" s="1"/>
  <c r="I41" i="14"/>
  <c r="K41" i="14"/>
  <c r="O41" i="14"/>
  <c r="E128" i="14" s="1"/>
  <c r="Q41" i="14"/>
  <c r="V41" i="14"/>
  <c r="G45" i="14"/>
  <c r="I45" i="14"/>
  <c r="K45" i="14"/>
  <c r="O45" i="14"/>
  <c r="E131" i="14" s="1"/>
  <c r="Q45" i="14"/>
  <c r="V45" i="14"/>
  <c r="G49" i="14"/>
  <c r="M49" i="14" s="1"/>
  <c r="I49" i="14"/>
  <c r="K49" i="14"/>
  <c r="O49" i="14"/>
  <c r="E132" i="14" s="1"/>
  <c r="Q49" i="14"/>
  <c r="V49" i="14"/>
  <c r="G51" i="14"/>
  <c r="M51" i="14" s="1"/>
  <c r="I51" i="14"/>
  <c r="K51" i="14"/>
  <c r="O51" i="14"/>
  <c r="E133" i="14" s="1"/>
  <c r="Q51" i="14"/>
  <c r="V51" i="14"/>
  <c r="G52" i="14"/>
  <c r="M52" i="14" s="1"/>
  <c r="I52" i="14"/>
  <c r="K52" i="14"/>
  <c r="O52" i="14"/>
  <c r="Q52" i="14"/>
  <c r="V52" i="14"/>
  <c r="G55" i="14"/>
  <c r="M55" i="14" s="1"/>
  <c r="I55" i="14"/>
  <c r="K55" i="14"/>
  <c r="O55" i="14"/>
  <c r="E135" i="14" s="1"/>
  <c r="Q55" i="14"/>
  <c r="V55" i="14"/>
  <c r="G57" i="14"/>
  <c r="M57" i="14" s="1"/>
  <c r="I57" i="14"/>
  <c r="K57" i="14"/>
  <c r="Q57" i="14"/>
  <c r="V57" i="14"/>
  <c r="G60" i="14"/>
  <c r="M60" i="14" s="1"/>
  <c r="I60" i="14"/>
  <c r="K60" i="14"/>
  <c r="O60" i="14"/>
  <c r="E137" i="14" s="1"/>
  <c r="Q60" i="14"/>
  <c r="V60" i="14"/>
  <c r="G62" i="14"/>
  <c r="M62" i="14" s="1"/>
  <c r="I62" i="14"/>
  <c r="K62" i="14"/>
  <c r="O62" i="14"/>
  <c r="E138" i="14" s="1"/>
  <c r="Q62" i="14"/>
  <c r="V62" i="14"/>
  <c r="G64" i="14"/>
  <c r="M64" i="14" s="1"/>
  <c r="I64" i="14"/>
  <c r="K64" i="14"/>
  <c r="O64" i="14"/>
  <c r="Q64" i="14"/>
  <c r="V64" i="14"/>
  <c r="G67" i="14"/>
  <c r="M67" i="14" s="1"/>
  <c r="I67" i="14"/>
  <c r="K67" i="14"/>
  <c r="O67" i="14"/>
  <c r="E139" i="14" s="1"/>
  <c r="Q67" i="14"/>
  <c r="V67" i="14"/>
  <c r="G69" i="14"/>
  <c r="M69" i="14" s="1"/>
  <c r="I69" i="14"/>
  <c r="K69" i="14"/>
  <c r="O69" i="14"/>
  <c r="E140" i="14" s="1"/>
  <c r="Q69" i="14"/>
  <c r="V69" i="14"/>
  <c r="G71" i="14"/>
  <c r="I71" i="14"/>
  <c r="K71" i="14"/>
  <c r="O71" i="14"/>
  <c r="E141" i="14" s="1"/>
  <c r="Q71" i="14"/>
  <c r="V71" i="14"/>
  <c r="G73" i="14"/>
  <c r="M73" i="14" s="1"/>
  <c r="I73" i="14"/>
  <c r="K73" i="14"/>
  <c r="O73" i="14"/>
  <c r="E142" i="14" s="1"/>
  <c r="Q73" i="14"/>
  <c r="V73" i="14"/>
  <c r="G77" i="14"/>
  <c r="M77" i="14" s="1"/>
  <c r="I77" i="14"/>
  <c r="K77" i="14"/>
  <c r="O77" i="14"/>
  <c r="E143" i="14" s="1"/>
  <c r="Q77" i="14"/>
  <c r="V77" i="14"/>
  <c r="G79" i="14"/>
  <c r="M79" i="14" s="1"/>
  <c r="I79" i="14"/>
  <c r="K79" i="14"/>
  <c r="O79" i="14"/>
  <c r="E144" i="14" s="1"/>
  <c r="Q79" i="14"/>
  <c r="V79" i="14"/>
  <c r="G83" i="14"/>
  <c r="M83" i="14" s="1"/>
  <c r="I83" i="14"/>
  <c r="K83" i="14"/>
  <c r="O83" i="14"/>
  <c r="Q83" i="14"/>
  <c r="V83" i="14"/>
  <c r="G86" i="14"/>
  <c r="M86" i="14" s="1"/>
  <c r="M85" i="14" s="1"/>
  <c r="I86" i="14"/>
  <c r="I85" i="14" s="1"/>
  <c r="K86" i="14"/>
  <c r="K85" i="14" s="1"/>
  <c r="O86" i="14"/>
  <c r="E145" i="14" s="1"/>
  <c r="Q86" i="14"/>
  <c r="Q85" i="14" s="1"/>
  <c r="V86" i="14"/>
  <c r="V85" i="14" s="1"/>
  <c r="G89" i="14"/>
  <c r="M89" i="14" s="1"/>
  <c r="I89" i="14"/>
  <c r="K89" i="14"/>
  <c r="O89" i="14"/>
  <c r="E146" i="14" s="1"/>
  <c r="Q89" i="14"/>
  <c r="V89" i="14"/>
  <c r="G90" i="14"/>
  <c r="M90" i="14" s="1"/>
  <c r="I90" i="14"/>
  <c r="K90" i="14"/>
  <c r="O90" i="14"/>
  <c r="E147" i="14" s="1"/>
  <c r="Q90" i="14"/>
  <c r="V90" i="14"/>
  <c r="G91" i="14"/>
  <c r="M91" i="14" s="1"/>
  <c r="I91" i="14"/>
  <c r="K91" i="14"/>
  <c r="O91" i="14"/>
  <c r="E148" i="14" s="1"/>
  <c r="Q91" i="14"/>
  <c r="V91" i="14"/>
  <c r="G92" i="14"/>
  <c r="M92" i="14" s="1"/>
  <c r="I92" i="14"/>
  <c r="K92" i="14"/>
  <c r="O92" i="14"/>
  <c r="E149" i="14" s="1"/>
  <c r="Q92" i="14"/>
  <c r="V92" i="14"/>
  <c r="G93" i="14"/>
  <c r="M93" i="14" s="1"/>
  <c r="I93" i="14"/>
  <c r="K93" i="14"/>
  <c r="O93" i="14"/>
  <c r="E150" i="14" s="1"/>
  <c r="Q93" i="14"/>
  <c r="V93" i="14"/>
  <c r="G94" i="14"/>
  <c r="M94" i="14" s="1"/>
  <c r="I94" i="14"/>
  <c r="K94" i="14"/>
  <c r="O94" i="14"/>
  <c r="E151" i="14" s="1"/>
  <c r="Q94" i="14"/>
  <c r="V94" i="14"/>
  <c r="G95" i="14"/>
  <c r="M95" i="14" s="1"/>
  <c r="I95" i="14"/>
  <c r="K95" i="14"/>
  <c r="O95" i="14"/>
  <c r="E152" i="14" s="1"/>
  <c r="Q95" i="14"/>
  <c r="V95" i="14"/>
  <c r="G97" i="14"/>
  <c r="M97" i="14" s="1"/>
  <c r="I97" i="14"/>
  <c r="K97" i="14"/>
  <c r="O97" i="14"/>
  <c r="E153" i="14" s="1"/>
  <c r="Q97" i="14"/>
  <c r="V97" i="14"/>
  <c r="G98" i="14"/>
  <c r="M98" i="14" s="1"/>
  <c r="I98" i="14"/>
  <c r="K98" i="14"/>
  <c r="O98" i="14"/>
  <c r="E154" i="14" s="1"/>
  <c r="Q98" i="14"/>
  <c r="V98" i="14"/>
  <c r="G99" i="14"/>
  <c r="M99" i="14" s="1"/>
  <c r="I99" i="14"/>
  <c r="K99" i="14"/>
  <c r="O99" i="14"/>
  <c r="E155" i="14" s="1"/>
  <c r="Q99" i="14"/>
  <c r="V99" i="14"/>
  <c r="G101" i="14"/>
  <c r="M101" i="14" s="1"/>
  <c r="I101" i="14"/>
  <c r="K101" i="14"/>
  <c r="O101" i="14"/>
  <c r="E156" i="14" s="1"/>
  <c r="Q101" i="14"/>
  <c r="V101" i="14"/>
  <c r="G102" i="14"/>
  <c r="M102" i="14" s="1"/>
  <c r="I102" i="14"/>
  <c r="K102" i="14"/>
  <c r="O102" i="14"/>
  <c r="E157" i="14" s="1"/>
  <c r="Q102" i="14"/>
  <c r="V102" i="14"/>
  <c r="G103" i="14"/>
  <c r="M103" i="14" s="1"/>
  <c r="I103" i="14"/>
  <c r="K103" i="14"/>
  <c r="Q103" i="14"/>
  <c r="V103" i="14"/>
  <c r="G105" i="14"/>
  <c r="M105" i="14" s="1"/>
  <c r="I105" i="14"/>
  <c r="K105" i="14"/>
  <c r="O105" i="14"/>
  <c r="E159" i="14" s="1"/>
  <c r="Q105" i="14"/>
  <c r="V105" i="14"/>
  <c r="G108" i="14"/>
  <c r="M108" i="14" s="1"/>
  <c r="I108" i="14"/>
  <c r="K108" i="14"/>
  <c r="O108" i="14"/>
  <c r="Q108" i="14"/>
  <c r="V108" i="14"/>
  <c r="G109" i="14"/>
  <c r="M109" i="14" s="1"/>
  <c r="I109" i="14"/>
  <c r="K109" i="14"/>
  <c r="O109" i="14"/>
  <c r="E160" i="14" s="1"/>
  <c r="Q109" i="14"/>
  <c r="V109" i="14"/>
  <c r="G112" i="14"/>
  <c r="M112" i="14" s="1"/>
  <c r="I112" i="14"/>
  <c r="K112" i="14"/>
  <c r="O112" i="14"/>
  <c r="Q112" i="14"/>
  <c r="V112" i="14"/>
  <c r="G113" i="14"/>
  <c r="I113" i="14"/>
  <c r="K113" i="14"/>
  <c r="O113" i="14"/>
  <c r="Q113" i="14"/>
  <c r="V113" i="14"/>
  <c r="G114" i="14"/>
  <c r="M114" i="14" s="1"/>
  <c r="I114" i="14"/>
  <c r="K114" i="14"/>
  <c r="O114" i="14"/>
  <c r="Q114" i="14"/>
  <c r="V114" i="14"/>
  <c r="G115" i="14"/>
  <c r="M115" i="14" s="1"/>
  <c r="I115" i="14"/>
  <c r="K115" i="14"/>
  <c r="O115" i="14"/>
  <c r="Q115" i="14"/>
  <c r="V115" i="14"/>
  <c r="G116" i="14"/>
  <c r="M116" i="14" s="1"/>
  <c r="I116" i="14"/>
  <c r="K116" i="14"/>
  <c r="O116" i="14"/>
  <c r="Q116" i="14"/>
  <c r="V116" i="14"/>
  <c r="G118" i="14"/>
  <c r="G117" i="14" s="1"/>
  <c r="I65" i="1" s="1"/>
  <c r="I118" i="14"/>
  <c r="I117" i="14" s="1"/>
  <c r="K118" i="14"/>
  <c r="K117" i="14" s="1"/>
  <c r="O118" i="14"/>
  <c r="O117" i="14" s="1"/>
  <c r="Q118" i="14"/>
  <c r="Q117" i="14" s="1"/>
  <c r="V118" i="14"/>
  <c r="V117" i="14" s="1"/>
  <c r="G162" i="14"/>
  <c r="M162" i="14" s="1"/>
  <c r="I162" i="14"/>
  <c r="K162" i="14"/>
  <c r="O162" i="14"/>
  <c r="Q162" i="14"/>
  <c r="V162" i="14"/>
  <c r="G164" i="14"/>
  <c r="M164" i="14" s="1"/>
  <c r="I164" i="14"/>
  <c r="K164" i="14"/>
  <c r="O164" i="14"/>
  <c r="Q164" i="14"/>
  <c r="V164" i="14"/>
  <c r="G165" i="14"/>
  <c r="I165" i="14"/>
  <c r="K165" i="14"/>
  <c r="O165" i="14"/>
  <c r="Q165" i="14"/>
  <c r="V165" i="14"/>
  <c r="G166" i="14"/>
  <c r="M166" i="14" s="1"/>
  <c r="I166" i="14"/>
  <c r="K166" i="14"/>
  <c r="O166" i="14"/>
  <c r="Q166" i="14"/>
  <c r="V166" i="14"/>
  <c r="G167" i="14"/>
  <c r="M167" i="14" s="1"/>
  <c r="I167" i="14"/>
  <c r="K167" i="14"/>
  <c r="O167" i="14"/>
  <c r="Q167" i="14"/>
  <c r="V167" i="14"/>
  <c r="G168" i="14"/>
  <c r="M168" i="14" s="1"/>
  <c r="I168" i="14"/>
  <c r="K168" i="14"/>
  <c r="O168" i="14"/>
  <c r="Q168" i="14"/>
  <c r="V168" i="14"/>
  <c r="G169" i="14"/>
  <c r="M169" i="14" s="1"/>
  <c r="I169" i="14"/>
  <c r="K169" i="14"/>
  <c r="O169" i="14"/>
  <c r="Q169" i="14"/>
  <c r="V169" i="14"/>
  <c r="G170" i="14"/>
  <c r="M170" i="14" s="1"/>
  <c r="I170" i="14"/>
  <c r="K170" i="14"/>
  <c r="O170" i="14"/>
  <c r="Q170" i="14"/>
  <c r="V170" i="14"/>
  <c r="G172" i="14"/>
  <c r="M172" i="14" s="1"/>
  <c r="I172" i="14"/>
  <c r="K172" i="14"/>
  <c r="O172" i="14"/>
  <c r="Q172" i="14"/>
  <c r="V172" i="14"/>
  <c r="G173" i="14"/>
  <c r="M173" i="14" s="1"/>
  <c r="I173" i="14"/>
  <c r="K173" i="14"/>
  <c r="O173" i="14"/>
  <c r="E192" i="14" s="1"/>
  <c r="Q173" i="14"/>
  <c r="V173" i="14"/>
  <c r="G176" i="14"/>
  <c r="M176" i="14" s="1"/>
  <c r="I176" i="14"/>
  <c r="K176" i="14"/>
  <c r="O176" i="14"/>
  <c r="E193" i="14" s="1"/>
  <c r="Q176" i="14"/>
  <c r="V176" i="14"/>
  <c r="G179" i="14"/>
  <c r="M179" i="14" s="1"/>
  <c r="I179" i="14"/>
  <c r="K179" i="14"/>
  <c r="O179" i="14"/>
  <c r="E194" i="14" s="1"/>
  <c r="Q179" i="14"/>
  <c r="V179" i="14"/>
  <c r="G180" i="14"/>
  <c r="M180" i="14" s="1"/>
  <c r="I180" i="14"/>
  <c r="K180" i="14"/>
  <c r="O180" i="14"/>
  <c r="E195" i="14" s="1"/>
  <c r="Q180" i="14"/>
  <c r="V180" i="14"/>
  <c r="G184" i="14"/>
  <c r="M184" i="14" s="1"/>
  <c r="I184" i="14"/>
  <c r="K184" i="14"/>
  <c r="O184" i="14"/>
  <c r="E196" i="14" s="1"/>
  <c r="Q184" i="14"/>
  <c r="V184" i="14"/>
  <c r="G198" i="14"/>
  <c r="M198" i="14" s="1"/>
  <c r="I198" i="14"/>
  <c r="K198" i="14"/>
  <c r="O198" i="14"/>
  <c r="Q198" i="14"/>
  <c r="V198" i="14"/>
  <c r="G199" i="14"/>
  <c r="M199" i="14" s="1"/>
  <c r="I199" i="14"/>
  <c r="K199" i="14"/>
  <c r="O199" i="14"/>
  <c r="Q199" i="14"/>
  <c r="V199" i="14"/>
  <c r="G200" i="14"/>
  <c r="I200" i="14"/>
  <c r="K200" i="14"/>
  <c r="O200" i="14"/>
  <c r="Q200" i="14"/>
  <c r="V200" i="14"/>
  <c r="G202" i="14"/>
  <c r="M202" i="14" s="1"/>
  <c r="I202" i="14"/>
  <c r="K202" i="14"/>
  <c r="O202" i="14"/>
  <c r="Q202" i="14"/>
  <c r="V202" i="14"/>
  <c r="G203" i="14"/>
  <c r="M203" i="14" s="1"/>
  <c r="I203" i="14"/>
  <c r="K203" i="14"/>
  <c r="O203" i="14"/>
  <c r="Q203" i="14"/>
  <c r="V203" i="14"/>
  <c r="G205" i="14"/>
  <c r="M205" i="14" s="1"/>
  <c r="I205" i="14"/>
  <c r="K205" i="14"/>
  <c r="O205" i="14"/>
  <c r="Q205" i="14"/>
  <c r="V205" i="14"/>
  <c r="G210" i="14"/>
  <c r="I210" i="14"/>
  <c r="K210" i="14"/>
  <c r="O210" i="14"/>
  <c r="Q210" i="14"/>
  <c r="V210" i="14"/>
  <c r="G211" i="14"/>
  <c r="M211" i="14" s="1"/>
  <c r="I211" i="14"/>
  <c r="K211" i="14"/>
  <c r="O211" i="14"/>
  <c r="Q211" i="14"/>
  <c r="V211" i="14"/>
  <c r="G212" i="14"/>
  <c r="M212" i="14" s="1"/>
  <c r="I212" i="14"/>
  <c r="K212" i="14"/>
  <c r="O212" i="14"/>
  <c r="Q212" i="14"/>
  <c r="V212" i="14"/>
  <c r="G215" i="14"/>
  <c r="M215" i="14" s="1"/>
  <c r="I215" i="14"/>
  <c r="K215" i="14"/>
  <c r="O215" i="14"/>
  <c r="Q215" i="14"/>
  <c r="V215" i="14"/>
  <c r="G217" i="14"/>
  <c r="M217" i="14" s="1"/>
  <c r="I217" i="14"/>
  <c r="K217" i="14"/>
  <c r="O217" i="14"/>
  <c r="Q217" i="14"/>
  <c r="V217" i="14"/>
  <c r="G219" i="14"/>
  <c r="M219" i="14" s="1"/>
  <c r="I219" i="14"/>
  <c r="K219" i="14"/>
  <c r="O219" i="14"/>
  <c r="Q219" i="14"/>
  <c r="V219" i="14"/>
  <c r="G223" i="14"/>
  <c r="M223" i="14" s="1"/>
  <c r="I223" i="14"/>
  <c r="K223" i="14"/>
  <c r="O223" i="14"/>
  <c r="Q223" i="14"/>
  <c r="V223" i="14"/>
  <c r="G224" i="14"/>
  <c r="M224" i="14" s="1"/>
  <c r="I224" i="14"/>
  <c r="K224" i="14"/>
  <c r="O224" i="14"/>
  <c r="Q224" i="14"/>
  <c r="V224" i="14"/>
  <c r="G225" i="14"/>
  <c r="M225" i="14" s="1"/>
  <c r="I225" i="14"/>
  <c r="K225" i="14"/>
  <c r="O225" i="14"/>
  <c r="Q225" i="14"/>
  <c r="V225" i="14"/>
  <c r="G229" i="14"/>
  <c r="M229" i="14" s="1"/>
  <c r="I229" i="14"/>
  <c r="K229" i="14"/>
  <c r="O229" i="14"/>
  <c r="Q229" i="14"/>
  <c r="V229" i="14"/>
  <c r="G231" i="14"/>
  <c r="M231" i="14" s="1"/>
  <c r="I231" i="14"/>
  <c r="K231" i="14"/>
  <c r="O231" i="14"/>
  <c r="Q231" i="14"/>
  <c r="V231" i="14"/>
  <c r="G233" i="14"/>
  <c r="M233" i="14" s="1"/>
  <c r="I233" i="14"/>
  <c r="K233" i="14"/>
  <c r="O233" i="14"/>
  <c r="Q233" i="14"/>
  <c r="V233" i="14"/>
  <c r="G237" i="14"/>
  <c r="M237" i="14" s="1"/>
  <c r="I237" i="14"/>
  <c r="K237" i="14"/>
  <c r="O237" i="14"/>
  <c r="Q237" i="14"/>
  <c r="V237" i="14"/>
  <c r="G239" i="14"/>
  <c r="M239" i="14" s="1"/>
  <c r="I239" i="14"/>
  <c r="K239" i="14"/>
  <c r="O239" i="14"/>
  <c r="Q239" i="14"/>
  <c r="V239" i="14"/>
  <c r="G241" i="14"/>
  <c r="M241" i="14" s="1"/>
  <c r="I241" i="14"/>
  <c r="K241" i="14"/>
  <c r="O241" i="14"/>
  <c r="Q241" i="14"/>
  <c r="V241" i="14"/>
  <c r="G242" i="14"/>
  <c r="M242" i="14" s="1"/>
  <c r="I242" i="14"/>
  <c r="K242" i="14"/>
  <c r="O242" i="14"/>
  <c r="Q242" i="14"/>
  <c r="V242" i="14"/>
  <c r="G243" i="14"/>
  <c r="M243" i="14" s="1"/>
  <c r="I243" i="14"/>
  <c r="K243" i="14"/>
  <c r="O243" i="14"/>
  <c r="Q243" i="14"/>
  <c r="V243" i="14"/>
  <c r="G244" i="14"/>
  <c r="M244" i="14" s="1"/>
  <c r="I244" i="14"/>
  <c r="K244" i="14"/>
  <c r="O244" i="14"/>
  <c r="Q244" i="14"/>
  <c r="V244" i="14"/>
  <c r="G251" i="14"/>
  <c r="I251" i="14"/>
  <c r="K251" i="14"/>
  <c r="O251" i="14"/>
  <c r="Q251" i="14"/>
  <c r="V251" i="14"/>
  <c r="G252" i="14"/>
  <c r="M252" i="14" s="1"/>
  <c r="I252" i="14"/>
  <c r="K252" i="14"/>
  <c r="O252" i="14"/>
  <c r="Q252" i="14"/>
  <c r="V252" i="14"/>
  <c r="G253" i="14"/>
  <c r="M253" i="14" s="1"/>
  <c r="I253" i="14"/>
  <c r="K253" i="14"/>
  <c r="O253" i="14"/>
  <c r="Q253" i="14"/>
  <c r="V253" i="14"/>
  <c r="G254" i="14"/>
  <c r="M254" i="14" s="1"/>
  <c r="I254" i="14"/>
  <c r="K254" i="14"/>
  <c r="O254" i="14"/>
  <c r="Q254" i="14"/>
  <c r="V254" i="14"/>
  <c r="G255" i="14"/>
  <c r="M255" i="14" s="1"/>
  <c r="I255" i="14"/>
  <c r="K255" i="14"/>
  <c r="O255" i="14"/>
  <c r="Q255" i="14"/>
  <c r="V255" i="14"/>
  <c r="G257" i="14"/>
  <c r="M257" i="14" s="1"/>
  <c r="I257" i="14"/>
  <c r="K257" i="14"/>
  <c r="O257" i="14"/>
  <c r="Q257" i="14"/>
  <c r="V257" i="14"/>
  <c r="G262" i="14"/>
  <c r="M262" i="14" s="1"/>
  <c r="I262" i="14"/>
  <c r="K262" i="14"/>
  <c r="O262" i="14"/>
  <c r="Q262" i="14"/>
  <c r="V262" i="14"/>
  <c r="G263" i="14"/>
  <c r="M263" i="14" s="1"/>
  <c r="I263" i="14"/>
  <c r="K263" i="14"/>
  <c r="O263" i="14"/>
  <c r="Q263" i="14"/>
  <c r="V263" i="14"/>
  <c r="G264" i="14"/>
  <c r="M264" i="14" s="1"/>
  <c r="I264" i="14"/>
  <c r="K264" i="14"/>
  <c r="O264" i="14"/>
  <c r="Q264" i="14"/>
  <c r="V264" i="14"/>
  <c r="G265" i="14"/>
  <c r="M265" i="14" s="1"/>
  <c r="I265" i="14"/>
  <c r="K265" i="14"/>
  <c r="O265" i="14"/>
  <c r="Q265" i="14"/>
  <c r="V265" i="14"/>
  <c r="G268" i="14"/>
  <c r="M268" i="14" s="1"/>
  <c r="I268" i="14"/>
  <c r="K268" i="14"/>
  <c r="O268" i="14"/>
  <c r="Q268" i="14"/>
  <c r="V268" i="14"/>
  <c r="G273" i="14"/>
  <c r="M273" i="14" s="1"/>
  <c r="I273" i="14"/>
  <c r="K273" i="14"/>
  <c r="O273" i="14"/>
  <c r="Q273" i="14"/>
  <c r="V273" i="14"/>
  <c r="G275" i="14"/>
  <c r="M275" i="14" s="1"/>
  <c r="I275" i="14"/>
  <c r="K275" i="14"/>
  <c r="O275" i="14"/>
  <c r="Q275" i="14"/>
  <c r="V275" i="14"/>
  <c r="G276" i="14"/>
  <c r="M276" i="14" s="1"/>
  <c r="I276" i="14"/>
  <c r="K276" i="14"/>
  <c r="O276" i="14"/>
  <c r="Q276" i="14"/>
  <c r="V276" i="14"/>
  <c r="G277" i="14"/>
  <c r="M277" i="14" s="1"/>
  <c r="I277" i="14"/>
  <c r="K277" i="14"/>
  <c r="O277" i="14"/>
  <c r="Q277" i="14"/>
  <c r="V277" i="14"/>
  <c r="G278" i="14"/>
  <c r="M278" i="14" s="1"/>
  <c r="I278" i="14"/>
  <c r="K278" i="14"/>
  <c r="O278" i="14"/>
  <c r="Q278" i="14"/>
  <c r="V278" i="14"/>
  <c r="G279" i="14"/>
  <c r="M279" i="14" s="1"/>
  <c r="I279" i="14"/>
  <c r="K279" i="14"/>
  <c r="O279" i="14"/>
  <c r="Q279" i="14"/>
  <c r="V279" i="14"/>
  <c r="G293" i="14"/>
  <c r="I293" i="14"/>
  <c r="K293" i="14"/>
  <c r="O293" i="14"/>
  <c r="Q293" i="14"/>
  <c r="V293" i="14"/>
  <c r="G299" i="14"/>
  <c r="M299" i="14" s="1"/>
  <c r="I299" i="14"/>
  <c r="K299" i="14"/>
  <c r="O299" i="14"/>
  <c r="Q299" i="14"/>
  <c r="V299" i="14"/>
  <c r="G300" i="14"/>
  <c r="M300" i="14" s="1"/>
  <c r="I300" i="14"/>
  <c r="K300" i="14"/>
  <c r="O300" i="14"/>
  <c r="Q300" i="14"/>
  <c r="V300" i="14"/>
  <c r="G302" i="14"/>
  <c r="M302" i="14" s="1"/>
  <c r="I302" i="14"/>
  <c r="K302" i="14"/>
  <c r="O302" i="14"/>
  <c r="Q302" i="14"/>
  <c r="V302" i="14"/>
  <c r="G304" i="14"/>
  <c r="M304" i="14" s="1"/>
  <c r="I304" i="14"/>
  <c r="K304" i="14"/>
  <c r="O304" i="14"/>
  <c r="Q304" i="14"/>
  <c r="V304" i="14"/>
  <c r="G305" i="14"/>
  <c r="I305" i="14"/>
  <c r="K305" i="14"/>
  <c r="O305" i="14"/>
  <c r="Q305" i="14"/>
  <c r="V305" i="14"/>
  <c r="G306" i="14"/>
  <c r="M306" i="14" s="1"/>
  <c r="I306" i="14"/>
  <c r="K306" i="14"/>
  <c r="O306" i="14"/>
  <c r="Q306" i="14"/>
  <c r="V306" i="14"/>
  <c r="G307" i="14"/>
  <c r="M307" i="14" s="1"/>
  <c r="I307" i="14"/>
  <c r="K307" i="14"/>
  <c r="O307" i="14"/>
  <c r="Q307" i="14"/>
  <c r="V307" i="14"/>
  <c r="G310" i="14"/>
  <c r="M310" i="14" s="1"/>
  <c r="I310" i="14"/>
  <c r="K310" i="14"/>
  <c r="O310" i="14"/>
  <c r="Q310" i="14"/>
  <c r="V310" i="14"/>
  <c r="G311" i="14"/>
  <c r="M311" i="14" s="1"/>
  <c r="I311" i="14"/>
  <c r="K311" i="14"/>
  <c r="O311" i="14"/>
  <c r="Q311" i="14"/>
  <c r="V311" i="14"/>
  <c r="G314" i="14"/>
  <c r="M314" i="14" s="1"/>
  <c r="I314" i="14"/>
  <c r="K314" i="14"/>
  <c r="O314" i="14"/>
  <c r="Q314" i="14"/>
  <c r="V314" i="14"/>
  <c r="G315" i="14"/>
  <c r="M315" i="14" s="1"/>
  <c r="I315" i="14"/>
  <c r="K315" i="14"/>
  <c r="O315" i="14"/>
  <c r="Q315" i="14"/>
  <c r="V315" i="14"/>
  <c r="G322" i="14"/>
  <c r="I322" i="14"/>
  <c r="K322" i="14"/>
  <c r="O322" i="14"/>
  <c r="Q322" i="14"/>
  <c r="V322" i="14"/>
  <c r="G324" i="14"/>
  <c r="M324" i="14" s="1"/>
  <c r="I324" i="14"/>
  <c r="K324" i="14"/>
  <c r="O324" i="14"/>
  <c r="Q324" i="14"/>
  <c r="V324" i="14"/>
  <c r="G325" i="14"/>
  <c r="M325" i="14" s="1"/>
  <c r="I325" i="14"/>
  <c r="K325" i="14"/>
  <c r="O325" i="14"/>
  <c r="Q325" i="14"/>
  <c r="V325" i="14"/>
  <c r="G326" i="14"/>
  <c r="M326" i="14" s="1"/>
  <c r="I326" i="14"/>
  <c r="K326" i="14"/>
  <c r="O326" i="14"/>
  <c r="Q326" i="14"/>
  <c r="V326" i="14"/>
  <c r="G327" i="14"/>
  <c r="M327" i="14" s="1"/>
  <c r="I327" i="14"/>
  <c r="K327" i="14"/>
  <c r="O327" i="14"/>
  <c r="Q327" i="14"/>
  <c r="V327" i="14"/>
  <c r="G333" i="14"/>
  <c r="M333" i="14" s="1"/>
  <c r="I333" i="14"/>
  <c r="K333" i="14"/>
  <c r="O333" i="14"/>
  <c r="Q333" i="14"/>
  <c r="V333" i="14"/>
  <c r="G337" i="14"/>
  <c r="M337" i="14" s="1"/>
  <c r="I337" i="14"/>
  <c r="K337" i="14"/>
  <c r="O337" i="14"/>
  <c r="Q337" i="14"/>
  <c r="V337" i="14"/>
  <c r="G341" i="14"/>
  <c r="M341" i="14" s="1"/>
  <c r="I341" i="14"/>
  <c r="K341" i="14"/>
  <c r="O341" i="14"/>
  <c r="Q341" i="14"/>
  <c r="V341" i="14"/>
  <c r="G343" i="14"/>
  <c r="M343" i="14" s="1"/>
  <c r="I343" i="14"/>
  <c r="K343" i="14"/>
  <c r="O343" i="14"/>
  <c r="Q343" i="14"/>
  <c r="V343" i="14"/>
  <c r="G348" i="14"/>
  <c r="M348" i="14" s="1"/>
  <c r="I348" i="14"/>
  <c r="K348" i="14"/>
  <c r="O348" i="14"/>
  <c r="Q348" i="14"/>
  <c r="V348" i="14"/>
  <c r="G349" i="14"/>
  <c r="M349" i="14" s="1"/>
  <c r="I349" i="14"/>
  <c r="K349" i="14"/>
  <c r="O349" i="14"/>
  <c r="Q349" i="14"/>
  <c r="V349" i="14"/>
  <c r="AE351" i="14"/>
  <c r="G9" i="13"/>
  <c r="M9" i="13" s="1"/>
  <c r="I9" i="13"/>
  <c r="K9" i="13"/>
  <c r="O9" i="13"/>
  <c r="Q9" i="13"/>
  <c r="V9" i="13"/>
  <c r="V8" i="13" s="1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I12" i="13"/>
  <c r="K12" i="13"/>
  <c r="M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M19" i="13" s="1"/>
  <c r="I19" i="13"/>
  <c r="K19" i="13"/>
  <c r="O19" i="13"/>
  <c r="Q19" i="13"/>
  <c r="V19" i="13"/>
  <c r="G20" i="13"/>
  <c r="M20" i="13" s="1"/>
  <c r="I20" i="13"/>
  <c r="K20" i="13"/>
  <c r="O20" i="13"/>
  <c r="Q20" i="13"/>
  <c r="V20" i="13"/>
  <c r="G21" i="13"/>
  <c r="M21" i="13" s="1"/>
  <c r="I21" i="13"/>
  <c r="K21" i="13"/>
  <c r="O21" i="13"/>
  <c r="Q21" i="13"/>
  <c r="V21" i="13"/>
  <c r="G22" i="13"/>
  <c r="M22" i="13" s="1"/>
  <c r="I22" i="13"/>
  <c r="K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AE27" i="13"/>
  <c r="F42" i="1" s="1"/>
  <c r="I9" i="12"/>
  <c r="K9" i="12"/>
  <c r="O9" i="12"/>
  <c r="Q9" i="12"/>
  <c r="V9" i="12"/>
  <c r="I10" i="12"/>
  <c r="K10" i="12"/>
  <c r="O10" i="12"/>
  <c r="Q10" i="12"/>
  <c r="V10" i="12"/>
  <c r="I11" i="12"/>
  <c r="K11" i="12"/>
  <c r="O11" i="12"/>
  <c r="Q11" i="12"/>
  <c r="V11" i="12"/>
  <c r="I12" i="12"/>
  <c r="K12" i="12"/>
  <c r="O12" i="12"/>
  <c r="Q12" i="12"/>
  <c r="V12" i="12"/>
  <c r="AE14" i="12"/>
  <c r="F41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V8" i="12" l="1"/>
  <c r="Q8" i="13"/>
  <c r="I60" i="17"/>
  <c r="E62" i="17" s="1"/>
  <c r="G62" i="17" s="1"/>
  <c r="K11" i="15"/>
  <c r="K15" i="15"/>
  <c r="K19" i="15"/>
  <c r="K33" i="15"/>
  <c r="K49" i="15"/>
  <c r="K53" i="15"/>
  <c r="K82" i="15"/>
  <c r="K36" i="16"/>
  <c r="Q8" i="12"/>
  <c r="O8" i="13"/>
  <c r="K42" i="15"/>
  <c r="K40" i="16"/>
  <c r="O8" i="12"/>
  <c r="K8" i="13"/>
  <c r="I33" i="16"/>
  <c r="K8" i="12"/>
  <c r="I8" i="13"/>
  <c r="I37" i="16"/>
  <c r="I8" i="12"/>
  <c r="K35" i="16"/>
  <c r="K35" i="15"/>
  <c r="K39" i="15"/>
  <c r="K105" i="15"/>
  <c r="K122" i="15"/>
  <c r="K31" i="16"/>
  <c r="G70" i="17"/>
  <c r="G60" i="17"/>
  <c r="G63" i="17" s="1"/>
  <c r="G27" i="17" s="1"/>
  <c r="K26" i="16"/>
  <c r="K12" i="16"/>
  <c r="I10" i="16"/>
  <c r="K14" i="16"/>
  <c r="K15" i="16"/>
  <c r="K20" i="16"/>
  <c r="K21" i="16"/>
  <c r="I17" i="16"/>
  <c r="K30" i="16"/>
  <c r="I28" i="16"/>
  <c r="G28" i="16"/>
  <c r="G17" i="16"/>
  <c r="G10" i="16"/>
  <c r="K4" i="15"/>
  <c r="K16" i="15"/>
  <c r="K10" i="15"/>
  <c r="K36" i="15"/>
  <c r="K58" i="15"/>
  <c r="K55" i="15"/>
  <c r="K46" i="15"/>
  <c r="K79" i="15"/>
  <c r="K78" i="15"/>
  <c r="K89" i="15"/>
  <c r="K100" i="15"/>
  <c r="K97" i="15"/>
  <c r="K109" i="15"/>
  <c r="K113" i="15"/>
  <c r="K117" i="15"/>
  <c r="K121" i="15"/>
  <c r="K99" i="15"/>
  <c r="K107" i="15"/>
  <c r="K115" i="15"/>
  <c r="K103" i="15"/>
  <c r="K101" i="15"/>
  <c r="K94" i="15"/>
  <c r="K91" i="15"/>
  <c r="K77" i="15"/>
  <c r="K71" i="15"/>
  <c r="K68" i="15"/>
  <c r="K64" i="15"/>
  <c r="K57" i="15"/>
  <c r="K56" i="15"/>
  <c r="K34" i="15"/>
  <c r="K30" i="15"/>
  <c r="K29" i="15"/>
  <c r="K7" i="15"/>
  <c r="G8" i="13"/>
  <c r="H62" i="18"/>
  <c r="H43" i="18"/>
  <c r="K16" i="16"/>
  <c r="K38" i="16"/>
  <c r="K13" i="16"/>
  <c r="K23" i="16"/>
  <c r="K43" i="16"/>
  <c r="K34" i="16"/>
  <c r="K42" i="16"/>
  <c r="K32" i="16"/>
  <c r="K25" i="16"/>
  <c r="K39" i="16"/>
  <c r="G37" i="16"/>
  <c r="G24" i="16"/>
  <c r="K9" i="16"/>
  <c r="K8" i="16" s="1"/>
  <c r="K29" i="16"/>
  <c r="K11" i="16"/>
  <c r="G33" i="16"/>
  <c r="K19" i="16"/>
  <c r="K119" i="15"/>
  <c r="K111" i="15"/>
  <c r="K95" i="15"/>
  <c r="K86" i="15"/>
  <c r="K87" i="15"/>
  <c r="K66" i="15"/>
  <c r="K63" i="15"/>
  <c r="K74" i="15"/>
  <c r="K65" i="15"/>
  <c r="K80" i="15"/>
  <c r="K6" i="15"/>
  <c r="K24" i="15"/>
  <c r="K20" i="15" s="1"/>
  <c r="K32" i="15"/>
  <c r="K14" i="15"/>
  <c r="K8" i="15"/>
  <c r="K47" i="15"/>
  <c r="K12" i="15"/>
  <c r="K44" i="15"/>
  <c r="K51" i="15"/>
  <c r="K9" i="15"/>
  <c r="K41" i="15"/>
  <c r="F43" i="18"/>
  <c r="E121" i="14"/>
  <c r="O85" i="14"/>
  <c r="E186" i="14"/>
  <c r="E13" i="14"/>
  <c r="Q13" i="14" s="1"/>
  <c r="E17" i="14"/>
  <c r="V11" i="14"/>
  <c r="O11" i="14"/>
  <c r="I11" i="14"/>
  <c r="K11" i="14"/>
  <c r="G11" i="14"/>
  <c r="M11" i="14" s="1"/>
  <c r="Q11" i="14"/>
  <c r="Q347" i="14"/>
  <c r="F62" i="18"/>
  <c r="K92" i="15"/>
  <c r="K70" i="15"/>
  <c r="K26" i="15"/>
  <c r="K48" i="15"/>
  <c r="K90" i="15"/>
  <c r="K108" i="15"/>
  <c r="K62" i="15"/>
  <c r="K81" i="15"/>
  <c r="K84" i="15"/>
  <c r="K17" i="15"/>
  <c r="K37" i="15"/>
  <c r="K60" i="15"/>
  <c r="K116" i="15"/>
  <c r="F40" i="1"/>
  <c r="I70" i="17"/>
  <c r="E72" i="17" s="1"/>
  <c r="G72" i="17" s="1"/>
  <c r="G73" i="17" s="1"/>
  <c r="G28" i="17" s="1"/>
  <c r="G292" i="14"/>
  <c r="I74" i="1" s="1"/>
  <c r="G85" i="14"/>
  <c r="I60" i="1" s="1"/>
  <c r="V104" i="14"/>
  <c r="K347" i="14"/>
  <c r="Q332" i="14"/>
  <c r="Q197" i="14"/>
  <c r="Q222" i="14"/>
  <c r="O303" i="14"/>
  <c r="O292" i="14"/>
  <c r="I292" i="14"/>
  <c r="Q104" i="14"/>
  <c r="G88" i="14"/>
  <c r="I61" i="1" s="1"/>
  <c r="K250" i="14"/>
  <c r="V347" i="14"/>
  <c r="O209" i="14"/>
  <c r="I66" i="14"/>
  <c r="Q111" i="14"/>
  <c r="I104" i="14"/>
  <c r="O228" i="14"/>
  <c r="G303" i="14"/>
  <c r="I75" i="1" s="1"/>
  <c r="V250" i="14"/>
  <c r="G40" i="14"/>
  <c r="I58" i="1" s="1"/>
  <c r="K24" i="14"/>
  <c r="G347" i="14"/>
  <c r="I78" i="1" s="1"/>
  <c r="K332" i="14"/>
  <c r="I332" i="14"/>
  <c r="I303" i="14"/>
  <c r="O236" i="14"/>
  <c r="M228" i="14"/>
  <c r="V197" i="14"/>
  <c r="V111" i="14"/>
  <c r="V96" i="14"/>
  <c r="K40" i="14"/>
  <c r="O24" i="14"/>
  <c r="I24" i="14"/>
  <c r="G66" i="14"/>
  <c r="I59" i="1" s="1"/>
  <c r="O347" i="14"/>
  <c r="O321" i="14"/>
  <c r="I321" i="14"/>
  <c r="Q303" i="14"/>
  <c r="V236" i="14"/>
  <c r="Q236" i="14"/>
  <c r="K228" i="14"/>
  <c r="I228" i="14"/>
  <c r="O222" i="14"/>
  <c r="V209" i="14"/>
  <c r="Q209" i="14"/>
  <c r="G197" i="14"/>
  <c r="I68" i="1" s="1"/>
  <c r="K111" i="14"/>
  <c r="I111" i="14"/>
  <c r="Q88" i="14"/>
  <c r="O88" i="14"/>
  <c r="O66" i="14"/>
  <c r="Q40" i="14"/>
  <c r="M96" i="14"/>
  <c r="V66" i="14"/>
  <c r="M347" i="14"/>
  <c r="Q321" i="14"/>
  <c r="G321" i="14"/>
  <c r="I76" i="1" s="1"/>
  <c r="I236" i="14"/>
  <c r="V222" i="14"/>
  <c r="I209" i="14"/>
  <c r="K197" i="14"/>
  <c r="O96" i="14"/>
  <c r="K66" i="14"/>
  <c r="O40" i="14"/>
  <c r="G96" i="14"/>
  <c r="I62" i="1" s="1"/>
  <c r="V332" i="14"/>
  <c r="V303" i="14"/>
  <c r="K303" i="14"/>
  <c r="V292" i="14"/>
  <c r="Q292" i="14"/>
  <c r="O250" i="14"/>
  <c r="I250" i="14"/>
  <c r="K236" i="14"/>
  <c r="I222" i="14"/>
  <c r="K209" i="14"/>
  <c r="M118" i="14"/>
  <c r="M117" i="14" s="1"/>
  <c r="G111" i="14"/>
  <c r="I64" i="1" s="1"/>
  <c r="Q96" i="14"/>
  <c r="V40" i="14"/>
  <c r="V24" i="14"/>
  <c r="F39" i="1"/>
  <c r="F43" i="1"/>
  <c r="O111" i="14"/>
  <c r="I347" i="14"/>
  <c r="K321" i="14"/>
  <c r="Q250" i="14"/>
  <c r="G250" i="14"/>
  <c r="I73" i="1" s="1"/>
  <c r="G236" i="14"/>
  <c r="I72" i="1" s="1"/>
  <c r="V228" i="14"/>
  <c r="Q228" i="14"/>
  <c r="K222" i="14"/>
  <c r="O197" i="14"/>
  <c r="O104" i="14"/>
  <c r="K88" i="14"/>
  <c r="I88" i="14"/>
  <c r="Q66" i="14"/>
  <c r="Q24" i="14"/>
  <c r="M104" i="14"/>
  <c r="K104" i="14"/>
  <c r="V88" i="14"/>
  <c r="O332" i="14"/>
  <c r="V321" i="14"/>
  <c r="K292" i="14"/>
  <c r="G222" i="14"/>
  <c r="I70" i="1" s="1"/>
  <c r="G209" i="14"/>
  <c r="I69" i="1" s="1"/>
  <c r="I197" i="14"/>
  <c r="K96" i="14"/>
  <c r="I96" i="14"/>
  <c r="I40" i="14"/>
  <c r="M332" i="14"/>
  <c r="M236" i="14"/>
  <c r="M222" i="14"/>
  <c r="M88" i="14"/>
  <c r="M24" i="14"/>
  <c r="G228" i="14"/>
  <c r="I71" i="1" s="1"/>
  <c r="G104" i="14"/>
  <c r="I63" i="1" s="1"/>
  <c r="G332" i="14"/>
  <c r="I77" i="1" s="1"/>
  <c r="M322" i="14"/>
  <c r="M321" i="14" s="1"/>
  <c r="M305" i="14"/>
  <c r="M303" i="14" s="1"/>
  <c r="M251" i="14"/>
  <c r="M250" i="14" s="1"/>
  <c r="G24" i="14"/>
  <c r="I57" i="1" s="1"/>
  <c r="M293" i="14"/>
  <c r="M292" i="14" s="1"/>
  <c r="M210" i="14"/>
  <c r="M209" i="14" s="1"/>
  <c r="M113" i="14"/>
  <c r="M111" i="14" s="1"/>
  <c r="M45" i="14"/>
  <c r="M40" i="14" s="1"/>
  <c r="M20" i="14"/>
  <c r="M200" i="14"/>
  <c r="M197" i="14" s="1"/>
  <c r="M165" i="14"/>
  <c r="M71" i="14"/>
  <c r="M66" i="14" s="1"/>
  <c r="AF27" i="13"/>
  <c r="G42" i="1" s="1"/>
  <c r="H42" i="1" s="1"/>
  <c r="I42" i="1" s="1"/>
  <c r="M16" i="13"/>
  <c r="M8" i="13" s="1"/>
  <c r="K33" i="16" l="1"/>
  <c r="H3" i="18"/>
  <c r="K24" i="16"/>
  <c r="I5" i="16"/>
  <c r="K37" i="16"/>
  <c r="K28" i="16"/>
  <c r="K18" i="16"/>
  <c r="G5" i="16"/>
  <c r="K88" i="15"/>
  <c r="K25" i="15"/>
  <c r="K3" i="15"/>
  <c r="K59" i="15"/>
  <c r="I79" i="1"/>
  <c r="G27" i="13"/>
  <c r="K17" i="16"/>
  <c r="K10" i="16"/>
  <c r="K40" i="15"/>
  <c r="F3" i="18"/>
  <c r="G121" i="14"/>
  <c r="I121" i="14"/>
  <c r="I120" i="14" s="1"/>
  <c r="K121" i="14"/>
  <c r="K120" i="14" s="1"/>
  <c r="Q121" i="14"/>
  <c r="Q120" i="14" s="1"/>
  <c r="O121" i="14"/>
  <c r="O120" i="14" s="1"/>
  <c r="V121" i="14"/>
  <c r="V120" i="14" s="1"/>
  <c r="Q186" i="14"/>
  <c r="Q161" i="14" s="1"/>
  <c r="V186" i="14"/>
  <c r="V161" i="14" s="1"/>
  <c r="K186" i="14"/>
  <c r="K161" i="14" s="1"/>
  <c r="O186" i="14"/>
  <c r="O161" i="14" s="1"/>
  <c r="G186" i="14"/>
  <c r="I186" i="14"/>
  <c r="I161" i="14" s="1"/>
  <c r="O13" i="14"/>
  <c r="K13" i="14"/>
  <c r="G13" i="14"/>
  <c r="M13" i="14" s="1"/>
  <c r="I13" i="14"/>
  <c r="V13" i="14"/>
  <c r="I17" i="14"/>
  <c r="K17" i="14"/>
  <c r="O17" i="14"/>
  <c r="Q17" i="14"/>
  <c r="Q8" i="14" s="1"/>
  <c r="V17" i="14"/>
  <c r="G17" i="14"/>
  <c r="M17" i="14" s="1"/>
  <c r="G8" i="14"/>
  <c r="I56" i="1" s="1"/>
  <c r="G29" i="17"/>
  <c r="F11" i="12" s="1"/>
  <c r="G11" i="12" s="1"/>
  <c r="F44" i="1"/>
  <c r="F12" i="12" l="1"/>
  <c r="G12" i="12" s="1"/>
  <c r="M12" i="12" s="1"/>
  <c r="K5" i="16"/>
  <c r="F10" i="12" s="1"/>
  <c r="G10" i="12" s="1"/>
  <c r="M10" i="12" s="1"/>
  <c r="K124" i="15"/>
  <c r="F9" i="12" s="1"/>
  <c r="G9" i="12" s="1"/>
  <c r="M9" i="12" s="1"/>
  <c r="M121" i="14"/>
  <c r="M120" i="14" s="1"/>
  <c r="G120" i="14"/>
  <c r="I66" i="1" s="1"/>
  <c r="I16" i="1" s="1"/>
  <c r="K8" i="14"/>
  <c r="O8" i="14"/>
  <c r="M186" i="14"/>
  <c r="M161" i="14" s="1"/>
  <c r="G161" i="14"/>
  <c r="I67" i="1" s="1"/>
  <c r="I8" i="14"/>
  <c r="AF351" i="14"/>
  <c r="V8" i="14"/>
  <c r="M8" i="14"/>
  <c r="M11" i="12"/>
  <c r="G23" i="1"/>
  <c r="A23" i="1" s="1"/>
  <c r="A24" i="1" s="1"/>
  <c r="G8" i="12" l="1"/>
  <c r="G14" i="12" s="1"/>
  <c r="M8" i="12"/>
  <c r="AF14" i="12"/>
  <c r="G41" i="1" s="1"/>
  <c r="H41" i="1" s="1"/>
  <c r="I41" i="1" s="1"/>
  <c r="G351" i="14"/>
  <c r="G43" i="1" s="1"/>
  <c r="H43" i="1" s="1"/>
  <c r="I43" i="1" s="1"/>
  <c r="G24" i="1"/>
  <c r="I80" i="1" l="1"/>
  <c r="I81" i="1" s="1"/>
  <c r="G39" i="1"/>
  <c r="H39" i="1" s="1"/>
  <c r="I44" i="1"/>
  <c r="H44" i="1"/>
  <c r="G44" i="1"/>
  <c r="G40" i="1" s="1"/>
  <c r="H40" i="1" s="1"/>
  <c r="I40" i="1" s="1"/>
  <c r="I17" i="1" l="1"/>
  <c r="I21" i="1" s="1"/>
  <c r="J62" i="1"/>
  <c r="J68" i="1"/>
  <c r="J59" i="1"/>
  <c r="J56" i="1"/>
  <c r="J76" i="1"/>
  <c r="J70" i="1"/>
  <c r="J58" i="1"/>
  <c r="J73" i="1"/>
  <c r="J75" i="1"/>
  <c r="J67" i="1"/>
  <c r="J69" i="1"/>
  <c r="J79" i="1"/>
  <c r="J60" i="1"/>
  <c r="J71" i="1"/>
  <c r="J78" i="1"/>
  <c r="J64" i="1"/>
  <c r="J72" i="1"/>
  <c r="J80" i="1"/>
  <c r="J65" i="1"/>
  <c r="J61" i="1"/>
  <c r="J66" i="1"/>
  <c r="J77" i="1"/>
  <c r="J63" i="1"/>
  <c r="J57" i="1"/>
  <c r="J74" i="1"/>
  <c r="G25" i="1"/>
  <c r="G28" i="1"/>
  <c r="I39" i="1"/>
  <c r="A25" i="1" l="1"/>
  <c r="J81" i="1"/>
  <c r="J39" i="1"/>
  <c r="J40" i="1"/>
  <c r="J41" i="1"/>
  <c r="J43" i="1"/>
  <c r="J42" i="1"/>
  <c r="J44" i="1" l="1"/>
  <c r="G26" i="1"/>
  <c r="A27" i="1" s="1"/>
  <c r="A26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8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8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<sst xmlns="http://schemas.openxmlformats.org/spreadsheetml/2006/main" count="2992" uniqueCount="1108">
  <si>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</si>
  <si>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</si>
  <si>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</si>
  <si>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</si>
  <si>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</si>
  <si>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</si>
  <si>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</si>
  <si>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</si>
  <si>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</si>
  <si>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</si>
  <si>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</si>
  <si>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</si>
  <si>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</si>
  <si>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</si>
  <si>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</si>
  <si>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</si>
  <si>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</si>
  <si>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</si>
  <si>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</si>
  <si>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</si>
  <si>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</si>
  <si>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</si>
  <si>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</si>
  <si>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</si>
  <si>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</si>
  <si>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</si>
  <si>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</si>
  <si>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</si>
  <si>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</si>
  <si>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</si>
  <si>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</si>
  <si>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</si>
  <si>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</si>
  <si>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</si>
  <si>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</si>
  <si>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</si>
  <si>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</si>
  <si>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</si>
  <si>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</si>
  <si>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</si>
  <si>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</si>
  <si>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11</t>
  </si>
  <si>
    <t>Rekonstrukce a rozvoj koupaliště Polanka</t>
  </si>
  <si>
    <t>Stavba</t>
  </si>
  <si>
    <t>RECEPCE</t>
  </si>
  <si>
    <t>D 1.4</t>
  </si>
  <si>
    <t>Technika prostředí staveb</t>
  </si>
  <si>
    <t>D 1.5</t>
  </si>
  <si>
    <t>Interiér</t>
  </si>
  <si>
    <t>D1.1 + D1.2</t>
  </si>
  <si>
    <t>Archetiktonicko - stavební a stavebně - konstrukční řešení</t>
  </si>
  <si>
    <t>Celkem za stavbu</t>
  </si>
  <si>
    <t>CZK</t>
  </si>
  <si>
    <t>#POPS</t>
  </si>
  <si>
    <t>Popis stavby: SO 11 - Rekonstrukce a rozvoj koupaliště Polanka</t>
  </si>
  <si>
    <t>#POPO</t>
  </si>
  <si>
    <t>Popis objektu: SO 11 - RECEPCE</t>
  </si>
  <si>
    <t>#POPR</t>
  </si>
  <si>
    <t>Popis rozpočtu: D 1.4 - Technika prostředí staveb</t>
  </si>
  <si>
    <t>Popis rozpočtu: D 1.5 - Interiér</t>
  </si>
  <si>
    <t>Popis rozpočtu: D1.1 + D1.2 - Archetiktonicko - stavební a stavebně - konstrukční řešení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</si>
  <si>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</si>
  <si>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</si>
  <si>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</si>
  <si>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</si>
  <si>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</si>
  <si>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</si>
  <si>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</si>
  <si>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</si>
  <si>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</si>
  <si>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</si>
  <si>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</si>
  <si>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</si>
  <si>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</si>
  <si>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</si>
  <si>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</si>
  <si>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</si>
  <si>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</si>
  <si>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</si>
  <si>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</si>
  <si>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</si>
  <si>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</si>
  <si>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</si>
  <si>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</si>
  <si>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</si>
  <si>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</si>
  <si>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</si>
  <si>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</si>
  <si>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</si>
  <si>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</si>
  <si>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</si>
  <si>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</si>
  <si>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</si>
  <si>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</si>
  <si>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</si>
  <si>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</si>
  <si>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</si>
  <si>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</si>
  <si>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</si>
  <si>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</si>
  <si>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</si>
  <si>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</si>
  <si>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</si>
  <si>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</si>
  <si>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</si>
  <si>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</si>
  <si>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</si>
  <si>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</si>
  <si>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</si>
  <si>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</si>
  <si>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</si>
  <si>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</si>
  <si>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</si>
  <si>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</si>
  <si>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</si>
  <si>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</si>
  <si>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</si>
  <si>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</si>
  <si>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</si>
  <si>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</si>
  <si>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</si>
  <si>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</si>
  <si>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</si>
  <si>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</si>
  <si>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</si>
  <si>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</si>
  <si>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</si>
  <si>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</si>
  <si>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</si>
  <si>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</si>
  <si>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</si>
  <si>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</si>
  <si>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</si>
  <si>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</si>
  <si>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</si>
  <si>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</si>
  <si>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</si>
  <si>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</si>
  <si>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</si>
  <si>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</si>
  <si>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</si>
  <si>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D 1.4.1</t>
  </si>
  <si>
    <t>Zdravotní instalace</t>
  </si>
  <si>
    <t>celkem</t>
  </si>
  <si>
    <t>Vlastní</t>
  </si>
  <si>
    <t>Indiv</t>
  </si>
  <si>
    <t>Práce</t>
  </si>
  <si>
    <t>Běžná</t>
  </si>
  <si>
    <t>POL1_</t>
  </si>
  <si>
    <t>D 1.4.2</t>
  </si>
  <si>
    <t>Elektroinstalace</t>
  </si>
  <si>
    <t>D 1.4.4</t>
  </si>
  <si>
    <t>Vzduchotechnika</t>
  </si>
  <si>
    <t>D 1.4.5</t>
  </si>
  <si>
    <t>Slaboproudá instalace</t>
  </si>
  <si>
    <t>SUM</t>
  </si>
  <si>
    <t>Poznámky uchazeče k zadání</t>
  </si>
  <si>
    <t>POPUZIV</t>
  </si>
  <si>
    <t>END</t>
  </si>
  <si>
    <t>799000001R00</t>
  </si>
  <si>
    <t>Zásobník toaletního papíru V/01 (dodávka a montáž)</t>
  </si>
  <si>
    <t>kus</t>
  </si>
  <si>
    <t>799000002R00</t>
  </si>
  <si>
    <t>Zásobník papírových ručníků V/02 (dodávka a montáž)</t>
  </si>
  <si>
    <t>799000003R00</t>
  </si>
  <si>
    <t>Dávkovač mýdla V/03 (dodávka a montáž)</t>
  </si>
  <si>
    <t>799000004R00</t>
  </si>
  <si>
    <t>WC štětka V/04</t>
  </si>
  <si>
    <t>799000005R00</t>
  </si>
  <si>
    <t>Odpadkový koš 3l V/05</t>
  </si>
  <si>
    <t>799000006R00</t>
  </si>
  <si>
    <t>Odpadkový koš 12l V/06</t>
  </si>
  <si>
    <t>799000007R00</t>
  </si>
  <si>
    <t>Venkovní nápisy na fasádu V/07 (dodávka a montáž)</t>
  </si>
  <si>
    <t>799000008R00</t>
  </si>
  <si>
    <t>Venkovní logo a nápis V/08 (dodávka a montáž)</t>
  </si>
  <si>
    <t>799000009R00</t>
  </si>
  <si>
    <t>Cedule návštěvního řádu a ceníku V/09 (dodávka a montáž)</t>
  </si>
  <si>
    <t>799000010R00</t>
  </si>
  <si>
    <t>Cedule na reklamní informace V/10 (dodávka a montáž)</t>
  </si>
  <si>
    <t>799000011R00</t>
  </si>
  <si>
    <t>Orientační systém - popisy dveří V/11 (dodávka a montáž)</t>
  </si>
  <si>
    <t>799000012R00</t>
  </si>
  <si>
    <t>Kancelářská židle N/01 (dodávka a montáž)</t>
  </si>
  <si>
    <t>799000013R00</t>
  </si>
  <si>
    <t>Skříň na cennosti OST/01 (dodávka a montáž)</t>
  </si>
  <si>
    <t>799000014R00</t>
  </si>
  <si>
    <t>Kuchyňka OST/02 (dodávka a montáž)</t>
  </si>
  <si>
    <t>799000015R00</t>
  </si>
  <si>
    <t>Recepční pult OST/03 (dodávka a montáž)</t>
  </si>
  <si>
    <t>799000016R00</t>
  </si>
  <si>
    <t>Lišta PVC ukončovací oblý profil 6mm OST/04 (dodávka a montáž)</t>
  </si>
  <si>
    <t>m</t>
  </si>
  <si>
    <t>799000017R00</t>
  </si>
  <si>
    <t>Konstrukce pro informační panely OST/05 (dodávka a montáž)</t>
  </si>
  <si>
    <t>215901101RT5</t>
  </si>
  <si>
    <t>Zhutnění podloží z hornin nesoudržných do 92% PS vibrační deskou</t>
  </si>
  <si>
    <t>m2</t>
  </si>
  <si>
    <t>VV</t>
  </si>
  <si>
    <t>131201112R00</t>
  </si>
  <si>
    <t>Hloubení nezapaž. jam hor.3 do 1000 m3, STROJNĚ</t>
  </si>
  <si>
    <t>m3</t>
  </si>
  <si>
    <t>131201119R00</t>
  </si>
  <si>
    <t>Příplatek za lepivost - hloubení nezap.jam v hor.3</t>
  </si>
  <si>
    <t>161101101R00</t>
  </si>
  <si>
    <t>Svislé přemístění výkopku z hor.1-4 do 2,5 m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</si>
  <si>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</si>
  <si>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</si>
  <si>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</si>
  <si>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</si>
  <si>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</si>
  <si>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</si>
  <si>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</si>
  <si>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</si>
  <si>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</si>
  <si>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</si>
  <si>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</si>
  <si>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</si>
  <si>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273321411R00</t>
  </si>
  <si>
    <t>Železobeton základových desek C 25/30 XC2, XF1, XA1</t>
  </si>
  <si>
    <t>273351215R00</t>
  </si>
  <si>
    <t>Bednění stěn základových desek - zřízení</t>
  </si>
  <si>
    <t>273351216R00</t>
  </si>
  <si>
    <t>Bednění stěn základových desek - odstranění</t>
  </si>
  <si>
    <t>Včetně očištění, vytřídění a uložení bednicího materiálu.</t>
  </si>
  <si>
    <t>POP</t>
  </si>
  <si>
    <t>273361821R00</t>
  </si>
  <si>
    <t>Výztuž základových desek z betonářské oceli B500B (10 505)</t>
  </si>
  <si>
    <t>t</t>
  </si>
  <si>
    <t>274313611R00</t>
  </si>
  <si>
    <t>Beton základových pasů prostý C 16/20 X0</t>
  </si>
  <si>
    <t>271313511R00</t>
  </si>
  <si>
    <t>273361921RT5</t>
  </si>
  <si>
    <t>Výztuž základových desek ze svařovaných sítí KH 20, drát d 6,0 mm, oko 150 x 150 mm</t>
  </si>
  <si>
    <t>8,625*7,7*18,2/6/1000*1,1</t>
  </si>
  <si>
    <t>311112125RT4</t>
  </si>
  <si>
    <t>Stěna z tvárnic ztraceného bednění, tl. 250 mm zalití tvárnic betonem C 25/30 XC1</t>
  </si>
  <si>
    <t>9,45*2,85-0,65*1-1,1*2,75</t>
  </si>
  <si>
    <t>311271177RT5</t>
  </si>
  <si>
    <t>Zdivo z tvárnic z autoklávového porobetonu hladkých kategorie I tl. 300 mm  499 x 249 x 300 mm</t>
  </si>
  <si>
    <t>(0,8+2,45+1,425+3,25)*3</t>
  </si>
  <si>
    <t>0,3*(3,25+3,2+0,25)</t>
  </si>
  <si>
    <t>0,27*9,45+0,33*2,45+0,8*0,33</t>
  </si>
  <si>
    <t>311271175RT1</t>
  </si>
  <si>
    <t>Zdivo z tvárnic z autoklávového porobetonu hladkých kategorie I  tl. 200 mm P 2 - 500, 599 x 249 x 200 mm</t>
  </si>
  <si>
    <t>0,98*(4,3+3,45)</t>
  </si>
  <si>
    <t>317121047RT4</t>
  </si>
  <si>
    <t>Překlad nenosný pórobetonový, světlost otvoru do 1050 mm překlad nenosný NEP 150-1250, 124 x 24,9 x 15 cm, kód spec.stand.201</t>
  </si>
  <si>
    <t>342255028R00</t>
  </si>
  <si>
    <t>Příčky z desek z autoklávového porobetonu hladkých kategorie I tl. 150 mm 150x249x599mm</t>
  </si>
  <si>
    <t>3,55*2,15-0,7*1,97</t>
  </si>
  <si>
    <t>0,18*3,55</t>
  </si>
  <si>
    <t>346244315R00</t>
  </si>
  <si>
    <t>Obezdívky van a WC nádržek z desek autoklávového porobetonu hladkých kategorie I tl. 150 mm</t>
  </si>
  <si>
    <t>1*2,1</t>
  </si>
  <si>
    <t>317941121R00</t>
  </si>
  <si>
    <t>Osazení ocelových válcovaných nosníků do č. 12</t>
  </si>
  <si>
    <t>235,2/1000</t>
  </si>
  <si>
    <t>15,7/1000</t>
  </si>
  <si>
    <t>14105075R1</t>
  </si>
  <si>
    <t>Trubka bezešvá konstrukční S355J2H, rozměr 114,3 x 6,3 mm</t>
  </si>
  <si>
    <t>Specifikace</t>
  </si>
  <si>
    <t>POL3_</t>
  </si>
  <si>
    <t>Výkres tvaru D1.2.b.1 : 14*1,15</t>
  </si>
  <si>
    <t>13611228R</t>
  </si>
  <si>
    <t>Plech hladký S235JR 10,00 x 1000 x 2000 mm</t>
  </si>
  <si>
    <t>SPCM</t>
  </si>
  <si>
    <t>15,7*1,15/1000</t>
  </si>
  <si>
    <t>317998111R00</t>
  </si>
  <si>
    <t>Izolace mezi překlady z polystyrenu tl. 50 mm</t>
  </si>
  <si>
    <t>0,8+3,25+9,45+2,45+1,425</t>
  </si>
  <si>
    <t>413941125R00</t>
  </si>
  <si>
    <t>Osazení válcovaných nosníků ve stropech č.24 a výš</t>
  </si>
  <si>
    <t>Výkres tvaru D1.2.b.1 : (2455,2+14,7)/1000</t>
  </si>
  <si>
    <t>13486330R</t>
  </si>
  <si>
    <t>Tyč ocelová HEA 260, S235JR</t>
  </si>
  <si>
    <t>Výkres tvaru D1.2.b.1 : (2455,2)/1000*1,15</t>
  </si>
  <si>
    <t>13611224R</t>
  </si>
  <si>
    <t>Plech hladký S235JR 8,00 x 1000 x 2000 mm</t>
  </si>
  <si>
    <t>Výkres tvaru D1.2.b.1 : (14,7)/1000*1,15</t>
  </si>
  <si>
    <t>417321315R00</t>
  </si>
  <si>
    <t>Ztužující pásy a věnce z betonu železového C 20/25</t>
  </si>
  <si>
    <t>0,25*0,3*(0,8+2,45+1,4+3,25)</t>
  </si>
  <si>
    <t>0,3*0,94*2,15</t>
  </si>
  <si>
    <t>0,25*0,25*9,45-(1,1+0,85)*0,25*0,25+(1,1+0,85)*0,25*0,4</t>
  </si>
  <si>
    <t>417361721R00</t>
  </si>
  <si>
    <t>Výztuž ztuž. pásů a věnců, ocel BSt 500 S</t>
  </si>
  <si>
    <t>1,86255*140/1000</t>
  </si>
  <si>
    <t>417351111R00</t>
  </si>
  <si>
    <t>Bednění ztužujících věnců, obě strany - zřízení</t>
  </si>
  <si>
    <t>2*(0,8+2,45+1,4+3,25)</t>
  </si>
  <si>
    <t>2*2,15</t>
  </si>
  <si>
    <t>2*9,45</t>
  </si>
  <si>
    <t>417351113R00</t>
  </si>
  <si>
    <t>Bednění ztužujících věnců, obě strany - odstranění</t>
  </si>
  <si>
    <t>Odkaz na mn. položky pořadí 36 : 39,00000</t>
  </si>
  <si>
    <t>564831111RT4</t>
  </si>
  <si>
    <t>Podklad ze štěrkový po zhutnění tloušťky 10 cm frakce 32-63 mm</t>
  </si>
  <si>
    <t>602011193R00</t>
  </si>
  <si>
    <t xml:space="preserve">Kontaktní nátěr pod omítky </t>
  </si>
  <si>
    <t>602011102R00</t>
  </si>
  <si>
    <t>Postřik cementový, ručně tl.2mm</t>
  </si>
  <si>
    <t>602011112RT1</t>
  </si>
  <si>
    <t>Omítka jádrová, ručně, vápenocementová tloušťka vrstvy 10 mm</t>
  </si>
  <si>
    <t>612481211RT8</t>
  </si>
  <si>
    <t>Montáž výztužné sítě(perlinky)do stěrky-vnit.stěny včetně výztužné sítě a stěrkového tmelu</t>
  </si>
  <si>
    <t>602011141RT1</t>
  </si>
  <si>
    <t>Štuk na stěnách vnitřní, ručně tloušťka vrstvy 2 mm</t>
  </si>
  <si>
    <t>612473186R00</t>
  </si>
  <si>
    <t>Příplatek za zabudované rohovníky, stěny</t>
  </si>
  <si>
    <t>612473185R00</t>
  </si>
  <si>
    <t>Příplatek za zabudované omítníky v ploše stěn</t>
  </si>
  <si>
    <t>622221114R07</t>
  </si>
  <si>
    <t>Obklad stěny vláknocementové fasádní desky, na Al vymez. lišty kód spec.stand.301</t>
  </si>
  <si>
    <t>622451122R00</t>
  </si>
  <si>
    <t>Omítka vnější stěn, MC, hrubá zatřená</t>
  </si>
  <si>
    <t>622471317RU4</t>
  </si>
  <si>
    <t>Nátěr nebo nástřik stěn/stropů vnějších, složitost 1 - 2 hmota nátěrová silikonová, RAL 7037, 2x nátěr+penetrace</t>
  </si>
  <si>
    <t>Penetrace + 2 x krycí nátěr.</t>
  </si>
  <si>
    <t>622474212RT1</t>
  </si>
  <si>
    <t>Omítka vnější štuková vápenocementová omítka postřik, jádrová omítka tl.20mm, vnější štuk tl.5mm</t>
  </si>
  <si>
    <t>602016191R00</t>
  </si>
  <si>
    <t xml:space="preserve">Penetrační nátěr stěn </t>
  </si>
  <si>
    <t>622481271R00</t>
  </si>
  <si>
    <t>Síťovina pro vyztužení vněj.jádr.omítky, oka 10/10</t>
  </si>
  <si>
    <t>631312621R00</t>
  </si>
  <si>
    <t>Mazanina betonová tl. 5 - 8 cm C 20/25 XC1</t>
  </si>
  <si>
    <t>Včetně vytvoření dilatačních spár, bez zaplnění.</t>
  </si>
  <si>
    <t>18,12*0,06</t>
  </si>
  <si>
    <t>631319171R00</t>
  </si>
  <si>
    <t>Příplatek za stržení povrchu mazaniny tl. 8 cm</t>
  </si>
  <si>
    <t>631361921RT8</t>
  </si>
  <si>
    <t>Výztuž mazanin svařovanou sítí KY 81, drát d 8,0 mm, oko 100 x 100 mm</t>
  </si>
  <si>
    <t>18,12*47,4/6/1000*1,1</t>
  </si>
  <si>
    <t>642944224R01</t>
  </si>
  <si>
    <t>553308525Ra</t>
  </si>
  <si>
    <t>642946111R00</t>
  </si>
  <si>
    <t>Osazení dveřních Al zárubní, do zdiva</t>
  </si>
  <si>
    <t>553513000R</t>
  </si>
  <si>
    <t>Hliníková zárubeň 700-900x1970mm, tl. stěny 150mm, pohledová šířka 79mm, radius zaoblení r=10mm osazena dosedacím těsněním</t>
  </si>
  <si>
    <t>642941111RT8</t>
  </si>
  <si>
    <t xml:space="preserve">Pouzdro pro posuvné dveře jednostranné, do zdiva jednostranné pouzdro </t>
  </si>
  <si>
    <t>941955002R00</t>
  </si>
  <si>
    <t>Lešení lehké pomocné, výška podlahy do 1,9 m</t>
  </si>
  <si>
    <t>(6,45+4,5)*2*1,2</t>
  </si>
  <si>
    <t>998011001R00</t>
  </si>
  <si>
    <t>Přesun hmot pro budovy do výšky do 6 m</t>
  </si>
  <si>
    <t>Odkaz na hmot. položky pořadí 27 : 0,00490</t>
  </si>
  <si>
    <t>Odkaz na hmot. položky pořadí 46 : 6,35974</t>
  </si>
  <si>
    <t>Odkaz na hmot. položky pořadí 51 : 0,00475</t>
  </si>
  <si>
    <t>711212002RT3</t>
  </si>
  <si>
    <t>Izolace proti vodě a vlhkosti, hydroizolační povlak - nátěr nebo stěrka kód spec.stand.501</t>
  </si>
  <si>
    <t>jednovrstvá</t>
  </si>
  <si>
    <t>711212000RU1</t>
  </si>
  <si>
    <t>Izolace proti vodě a vlhkosti, penetrace podkladu pod hydroizolační nátěr, včetně dodávky</t>
  </si>
  <si>
    <t>711151111R00</t>
  </si>
  <si>
    <t>Provedení izolace proti vlhkosti na ploše vodorovné, samolepicími asfaltovými pásy</t>
  </si>
  <si>
    <t>62852269R</t>
  </si>
  <si>
    <t>R-položka</t>
  </si>
  <si>
    <t>POL12_0</t>
  </si>
  <si>
    <t>711171559RT1</t>
  </si>
  <si>
    <t>Provedení izolace proti vlhkosti na ploše vodorovné, fólií, volně fólie ve specifikaci</t>
  </si>
  <si>
    <t>67352316.AR</t>
  </si>
  <si>
    <t>Fólie  speciál podstřešní difúzní</t>
  </si>
  <si>
    <t>711191172R00</t>
  </si>
  <si>
    <t>Provedení izolace proti vlhkosti na ploše vodorovné, ochrannou textilií</t>
  </si>
  <si>
    <t>69366198R</t>
  </si>
  <si>
    <t>Geotextilie 300 g/m2 ze 100% PP</t>
  </si>
  <si>
    <t>18,12*1,1</t>
  </si>
  <si>
    <t>711714110R00</t>
  </si>
  <si>
    <t>Provedení nátěru adhezní hmotou včetně dodávky adhezní hmoty</t>
  </si>
  <si>
    <t>711141559R00</t>
  </si>
  <si>
    <t>Provedení izolace proti vlhkosti na ploše vodorovné, asfaltovými pásy přitavením</t>
  </si>
  <si>
    <t>18,12*2</t>
  </si>
  <si>
    <t>62852251R</t>
  </si>
  <si>
    <t>Pás modifikovaný asfalt  kód spec.stand. 503</t>
  </si>
  <si>
    <t>62852265R</t>
  </si>
  <si>
    <t>Pás modifikovaný asfalstový kód spec. stand.502</t>
  </si>
  <si>
    <t>711412001R00</t>
  </si>
  <si>
    <t>Provedení izolace proti tlakové vodě, na ploše svislé, penetračním nátěrem</t>
  </si>
  <si>
    <t>18,12</t>
  </si>
  <si>
    <t>95,03</t>
  </si>
  <si>
    <t>11163230R</t>
  </si>
  <si>
    <t xml:space="preserve">Emulze asfaltová penetrační </t>
  </si>
  <si>
    <t>kg</t>
  </si>
  <si>
    <t>998711101R00</t>
  </si>
  <si>
    <t>Přesun hmot pro izolace proti vodě, výšky do 6 m</t>
  </si>
  <si>
    <t>Odkaz na hmot. položky pořadí 62 : 0,00663</t>
  </si>
  <si>
    <t>Odkaz na hmot. položky pořadí 63 : 0,00041</t>
  </si>
  <si>
    <t>Odkaz na hmot. položky pořadí 65 : 0,36587</t>
  </si>
  <si>
    <t>Odkaz na hmot. položky pořadí 67 : 0,01150</t>
  </si>
  <si>
    <t>Odkaz na hmot. položky pořadí 69 : 0,00598</t>
  </si>
  <si>
    <t>712391171R00</t>
  </si>
  <si>
    <t>Povlaková krytina střech do 10°, podklad. textilie</t>
  </si>
  <si>
    <t>712372111R00</t>
  </si>
  <si>
    <t>Provedení povlakové krytiny střech do 10°, fólií kotvenou do podkladu</t>
  </si>
  <si>
    <t>včetně ukotvení k podkladu hmoždinkami, svaření všech spojů a překrytí kotev fólií.</t>
  </si>
  <si>
    <t>283220013R</t>
  </si>
  <si>
    <t>Fólie izolační z PVC-P, tl. 2,0 mm kód spec.stand.504</t>
  </si>
  <si>
    <t>712000120R00</t>
  </si>
  <si>
    <t>Pojistná zálivka</t>
  </si>
  <si>
    <t>8,1*2+9,45*2</t>
  </si>
  <si>
    <t>998712101R00</t>
  </si>
  <si>
    <t>Přesun hmot pro povlakové krytiny, výšky do 6 m</t>
  </si>
  <si>
    <t>Odkaz na hmot. položky pořadí 78 : 0,03136</t>
  </si>
  <si>
    <t>Odkaz na hmot. položky pořadí 80 : 0,22997</t>
  </si>
  <si>
    <t>Odkaz na hmot. položky pořadí 81 : 0,01755</t>
  </si>
  <si>
    <t>713121111R00</t>
  </si>
  <si>
    <t>Montáž tepelné izolace podlah na sucho, jednovrstvá</t>
  </si>
  <si>
    <t>713141312R00</t>
  </si>
  <si>
    <t>Montáž tepelné izolace střech do tl. 160 mm, 1 vrstva, na kotvy</t>
  </si>
  <si>
    <t>28375706R</t>
  </si>
  <si>
    <t>Deska izolační stabilizovaná EPS 200 1000 x 500 mm kód spec.stand.801</t>
  </si>
  <si>
    <t>18,12*0,17*1,1</t>
  </si>
  <si>
    <t>95,03*0,12*1,1</t>
  </si>
  <si>
    <t>713121118R00</t>
  </si>
  <si>
    <t>Montáž dilatačního pásku podél stěn</t>
  </si>
  <si>
    <t>3,15+1+0,8+2,45+(1+2,15+2,15+1,45)*2+(4,05+3,2)*2</t>
  </si>
  <si>
    <t>28314030R</t>
  </si>
  <si>
    <t>Páska PE okrajová dilatační tl. 10 mm</t>
  </si>
  <si>
    <t>Odkaz na mn. položky pořadí 86 : 35,40000*1,1</t>
  </si>
  <si>
    <t>998713101R00</t>
  </si>
  <si>
    <t>Přesun hmot pro izolace tepelné, výšky do 6 m</t>
  </si>
  <si>
    <t>Odkaz na hmot. položky pořadí 85 : 0,47797</t>
  </si>
  <si>
    <t>Odkaz na hmot. položky pořadí 87 : 0,00467</t>
  </si>
  <si>
    <t>763611121RT6</t>
  </si>
  <si>
    <t>Montáž bednění střech z desek do tl.18 mm,sraz,sponky vč. dodávky desky OSB 3N tl. 15 mm</t>
  </si>
  <si>
    <t>762342202RT5</t>
  </si>
  <si>
    <t>Montáž laťování střech, vzdálenost latí do 22 cm včetně dodávky řeziva, latě 6/8cm</t>
  </si>
  <si>
    <t>998762102R00</t>
  </si>
  <si>
    <t>Přesun hmot pro tesařské konstrukce, výšky do 12 m</t>
  </si>
  <si>
    <t>Odkaz na hmot. položky pořadí 89 : 0,93700</t>
  </si>
  <si>
    <t>Odkaz na hmot. položky pořadí 90 : 0,62720</t>
  </si>
  <si>
    <t>763183141R00</t>
  </si>
  <si>
    <t>Montáž dřevěných sendvičových střešních panelů</t>
  </si>
  <si>
    <t>89,95</t>
  </si>
  <si>
    <t>607170000R</t>
  </si>
  <si>
    <t>CLT stropní panel tl.145mm s biodeskou z modřínu</t>
  </si>
  <si>
    <t>89,95*1,1</t>
  </si>
  <si>
    <t>998763101R00</t>
  </si>
  <si>
    <t>Přesun hmot pro dřevostavby, výšky do 12 m</t>
  </si>
  <si>
    <t>Odkaz na hmot. položky pořadí 92 : 0,02788</t>
  </si>
  <si>
    <t>Odkaz na hmot. položky pořadí 93 : 4,94725</t>
  </si>
  <si>
    <t>764718102R00</t>
  </si>
  <si>
    <t>Žlab podokapní půlkruh.z Al plechu lak.,průměr 100mm K/01</t>
  </si>
  <si>
    <t>včetně háku a čel.</t>
  </si>
  <si>
    <t>764718109R00</t>
  </si>
  <si>
    <t>Odpadní trouby kruhové z Al plechu lak., D 100 mm K/02</t>
  </si>
  <si>
    <t>včetně kolen, objímek, spojovacího materiálu a zednické výpomoci.</t>
  </si>
  <si>
    <t>712378004R00</t>
  </si>
  <si>
    <t>Závětrná lišta rš 250 mm, pozink.plech s vrtvou z měkčeného PVC K/03</t>
  </si>
  <si>
    <t>712378001R00</t>
  </si>
  <si>
    <t>Okapnicový plech rš 150 mm pozink.plech a vrstvou měkčeného PVC K/04</t>
  </si>
  <si>
    <t>764816125R00</t>
  </si>
  <si>
    <t>Oplechování parapetů, lakovaný Pz plech, rš 250 mm K/05</t>
  </si>
  <si>
    <t>998764101R00</t>
  </si>
  <si>
    <t>Přesun hmot pro klempířské konstr., výšky do 6 m</t>
  </si>
  <si>
    <t>Odkaz na hmot. položky pořadí 95 : 0,00431</t>
  </si>
  <si>
    <t>Odkaz na hmot. položky pořadí 96 : 0,00788</t>
  </si>
  <si>
    <t>Odkaz na hmot. položky pořadí 97 : 0,05520</t>
  </si>
  <si>
    <t>Odkaz na hmot. položky pořadí 98 : 0,01271</t>
  </si>
  <si>
    <t>Odkaz na hmot. položky pořadí 99 : 0,00173</t>
  </si>
  <si>
    <t>766412121R00</t>
  </si>
  <si>
    <t>Obložení stěn nad 1 m2 palubkami MD, š. do 6 cm</t>
  </si>
  <si>
    <t>61191740Ra</t>
  </si>
  <si>
    <t>Palubka obkladová MD tloušťka 40 šíře do 60 mm</t>
  </si>
  <si>
    <t>766414143R00</t>
  </si>
  <si>
    <t>Obložení stěn pl. do 5 m2, deskami nad 1,5 m2</t>
  </si>
  <si>
    <t>60621708R</t>
  </si>
  <si>
    <t>Překližka truhlářská vodovzdorná tl.21mm</t>
  </si>
  <si>
    <t>766417111R00</t>
  </si>
  <si>
    <t>Podkladový rošt pod obložení stěn včetně materiálu - latě smrkové 20/40mm</t>
  </si>
  <si>
    <t>(4,5+3,6)*2</t>
  </si>
  <si>
    <t>766711001R00</t>
  </si>
  <si>
    <t>Montáž oken a balkonových dveří s vypěněním</t>
  </si>
  <si>
    <t>Montáž plastových oken a dveří včetně dodávky a montáže PU pěny a spojovacích prostředků.</t>
  </si>
  <si>
    <t>(3,4+4,25+2,63+3,4+4,25+2,53)</t>
  </si>
  <si>
    <t>1*2+0,5*2</t>
  </si>
  <si>
    <t>(1,1+2,6)*2</t>
  </si>
  <si>
    <t>61143800Rk</t>
  </si>
  <si>
    <t>Dveře plastové 1100x2600mm-pětikomorový rám s plast.sendvič.výplní s vypěněným jádrem tl.34mm proskl.nadsvětíl RAL 7016 antracit, - O/03</t>
  </si>
  <si>
    <t>61143800Rb</t>
  </si>
  <si>
    <t>Okno plastové - pětikomorové s trojitým těsněním a izolačním dvojsklem, celoobvod.kování RAL 7016 antracit, O/01</t>
  </si>
  <si>
    <t>61143800Ra</t>
  </si>
  <si>
    <t>Okno plastové - pětikomorové s trojitým těsněním a izolačním dvojsklem, celoobvod.kování RAL 7016 antracit, O/02</t>
  </si>
  <si>
    <t>766711091R00</t>
  </si>
  <si>
    <t>Podkladní tepelně izolační profil</t>
  </si>
  <si>
    <t>3,4+4,25</t>
  </si>
  <si>
    <t>766601229R00</t>
  </si>
  <si>
    <t>Těsnění oken.spáry,parapet,PT folie+PP folie+páska</t>
  </si>
  <si>
    <t>Dodávka a aplikace parotěsné a paropropustné fólie, těsnicí pásky pod rám a pod vnější parapet, vymezovacího provazce pod vnitřní parapet a silikonového tmelu.</t>
  </si>
  <si>
    <t>767000015R00</t>
  </si>
  <si>
    <t xml:space="preserve">D+M folie  </t>
  </si>
  <si>
    <t>(3,4+4,25)*2,63*2</t>
  </si>
  <si>
    <t>766661112R00</t>
  </si>
  <si>
    <t>Montáž dveří do zárubně,otevíravých 1kř.do 0,8 m</t>
  </si>
  <si>
    <t>611618002R</t>
  </si>
  <si>
    <t>766666112R00</t>
  </si>
  <si>
    <t>Montáž dveří posuvných 1kř.</t>
  </si>
  <si>
    <t>611618004R</t>
  </si>
  <si>
    <t>998766101R00</t>
  </si>
  <si>
    <t>Přesun hmot pro truhlářské konstr., výšky do 6 m</t>
  </si>
  <si>
    <t>Odkaz na hmot. položky pořadí 101 : 0,00065</t>
  </si>
  <si>
    <t>Odkaz na hmot. položky pořadí 102 : 0,04392</t>
  </si>
  <si>
    <t>Odkaz na hmot. položky pořadí 103 : 0,00059</t>
  </si>
  <si>
    <t>Odkaz na hmot. položky pořadí 104 : 0,04536</t>
  </si>
  <si>
    <t>Odkaz na hmot. položky pořadí 105 : 0,00292</t>
  </si>
  <si>
    <t>Odkaz na hmot. položky pořadí 106 : 0,00062</t>
  </si>
  <si>
    <t>Odkaz na hmot. položky pořadí 107 : 0,04360</t>
  </si>
  <si>
    <t>Odkaz na hmot. položky pořadí 108 : 0,03680</t>
  </si>
  <si>
    <t>Odkaz na hmot. položky pořadí 110 : 0,01159</t>
  </si>
  <si>
    <t>Odkaz na hmot. položky pořadí 111 : 0,00370</t>
  </si>
  <si>
    <t>Odkaz na hmot. položky pořadí 114 : 0,02200</t>
  </si>
  <si>
    <t>Odkaz na hmot. položky pořadí 116 : 0,02200</t>
  </si>
  <si>
    <t>7670001</t>
  </si>
  <si>
    <t>767843130R00</t>
  </si>
  <si>
    <t>Kotvicí bod dl. 300 mm nerez, pro tenké dřev.kce  ozn.U1</t>
  </si>
  <si>
    <t>767849142R00</t>
  </si>
  <si>
    <t>Montážní lano 14 mm, délka 23 m</t>
  </si>
  <si>
    <t>767849131R00</t>
  </si>
  <si>
    <t>Štítek k označní jednotlivých úseků kotv.vedení</t>
  </si>
  <si>
    <t>771101101R00</t>
  </si>
  <si>
    <t>Vysávání podlah prům.vysavačem pro pokládku dlažby</t>
  </si>
  <si>
    <t>771101210R00</t>
  </si>
  <si>
    <t>Penetrace podkladu pod dlažby</t>
  </si>
  <si>
    <t>771575109R00</t>
  </si>
  <si>
    <t>Montáž podlah keramických, tmel, 30x30 cm</t>
  </si>
  <si>
    <t>59764210Ra</t>
  </si>
  <si>
    <t>Dlažba  keramická 300x300x9 mm, protiskluznost R11/B, reliéfní matná, šedá, slinutá, neglazovaná kód spec.standar.303</t>
  </si>
  <si>
    <t>18,3*0,1*1,1</t>
  </si>
  <si>
    <t>771479001R00</t>
  </si>
  <si>
    <t>Řezání dlaždic keramických pro soklíky</t>
  </si>
  <si>
    <t>771475014R00</t>
  </si>
  <si>
    <t>Obklad soklíků keram.rovných, tmel,výška do 10 cm</t>
  </si>
  <si>
    <t>(1,45+2,15)*2-0,9*2-0,7</t>
  </si>
  <si>
    <t>13,6</t>
  </si>
  <si>
    <t>781419705RT2</t>
  </si>
  <si>
    <t>Příplatek za spárovací hmotu-plošně, šedá pro úzké spáry do 8mm</t>
  </si>
  <si>
    <t>998771101R00</t>
  </si>
  <si>
    <t>Přesun hmot pro podlahy z dlaždic, výšky do 6 m</t>
  </si>
  <si>
    <t>Odkaz na hmot. položky pořadí 123 : 0,00381</t>
  </si>
  <si>
    <t>Odkaz na hmot. položky pořadí 124 : 0,09132</t>
  </si>
  <si>
    <t>Odkaz na hmot. položky pořadí 125 : 0,42134</t>
  </si>
  <si>
    <t>Odkaz na hmot. položky pořadí 127 : 0,00586</t>
  </si>
  <si>
    <t>Odkaz na hmot. položky pořadí 128 : 0,00544</t>
  </si>
  <si>
    <t>781101210R00</t>
  </si>
  <si>
    <t>Penetrace podkladu pod obklady</t>
  </si>
  <si>
    <t>včetně dodávky materiálu.</t>
  </si>
  <si>
    <t>781475120R00</t>
  </si>
  <si>
    <t>Obklad vnitřní stěn keramický, do tmele, 30x60 cm</t>
  </si>
  <si>
    <t>5796100Ra</t>
  </si>
  <si>
    <t>Keramický obklad 30x60cm,tl.10mm,šedá, betonový design, matný povrch kód spec.stand. 304</t>
  </si>
  <si>
    <t>998781101R00</t>
  </si>
  <si>
    <t>Přesun hmot pro obklady keramické, výšky do 6 m</t>
  </si>
  <si>
    <t>Odkaz na hmot. položky pořadí 130 : 0,00400</t>
  </si>
  <si>
    <t>Odkaz na hmot. položky pořadí 131 : 0,10186</t>
  </si>
  <si>
    <t>Odkaz na hmot. položky pořadí 132 : 0,38778</t>
  </si>
  <si>
    <t>Odkaz na hmot. položky pořadí 133 : 0,00571</t>
  </si>
  <si>
    <t>783122710R00</t>
  </si>
  <si>
    <t>Nátěr syntetický OK "A" základní</t>
  </si>
  <si>
    <t>HEA 260 : 36*(0,26*4+0,25*2)</t>
  </si>
  <si>
    <t>TK 114x6,3 : 2*3,14*0,114/2*14</t>
  </si>
  <si>
    <t>0,2*2</t>
  </si>
  <si>
    <t>783782212R00</t>
  </si>
  <si>
    <t>včetně montáže, dodávky a demontáže lešení.</t>
  </si>
  <si>
    <t>89,95*2</t>
  </si>
  <si>
    <t>783726200R00</t>
  </si>
  <si>
    <t>Nátěr synt. lazurovací tesařských konstr. 2x lak</t>
  </si>
  <si>
    <t>Odkaz na mn. položky pořadí 92 : 89,95000</t>
  </si>
  <si>
    <t>783122111R00</t>
  </si>
  <si>
    <t>Nátěr syntetický OK "A" dvojnásobný, antikorozní RAL 7016</t>
  </si>
  <si>
    <t>784191101R00</t>
  </si>
  <si>
    <t xml:space="preserve">Penetrace podkladu univerzální </t>
  </si>
  <si>
    <t>784195412R01</t>
  </si>
  <si>
    <t>Malba, bílá, bez penetrace, 2 x s tepelně izolačními vlastnostmi kód spec.stand.710</t>
  </si>
  <si>
    <t>174101101R00</t>
  </si>
  <si>
    <t>Zásyp jam, rýh, šachet se zhutněním</t>
  </si>
  <si>
    <r>
      <t xml:space="preserve">Název akce:                        </t>
    </r>
    <r>
      <rPr>
        <b/>
        <sz val="10"/>
        <rFont val="Arial CE"/>
        <family val="2"/>
        <charset val="238"/>
      </rPr>
      <t xml:space="preserve"> Rekonstrukce a rozvoj koupaliště Polanka</t>
    </r>
  </si>
  <si>
    <t xml:space="preserve">                                           Třebíč, areál koupaliště Polanka, k.ú. Třebíč - Podklášteří 769916</t>
  </si>
  <si>
    <t xml:space="preserve">                                           parc.č. 122/1, 122/2, 122/3, 122/4, 122/8, 122/11, 112/8, 2027</t>
  </si>
  <si>
    <t>Stavební objekty:                  SO 11 RECEPCE</t>
  </si>
  <si>
    <t xml:space="preserve">Stavebník:                            Město Třebíč, Karlovo náměstí 104/55, 674 01 Třebíč
</t>
  </si>
  <si>
    <t>Místo stavby:                        k.ú. Třebíč - Podklášteří 769916</t>
  </si>
  <si>
    <t>Generální projektant:             VMS projekt s.r.o.</t>
  </si>
  <si>
    <t xml:space="preserve">                                           sídlo:  Novorossijská 16, 100 00 Praha 10 - Vršovice
</t>
  </si>
  <si>
    <t xml:space="preserve">                                           kancelář: Čerčanská 640/30b, 140 00 Praha 4 - Krč</t>
  </si>
  <si>
    <r>
      <t xml:space="preserve">Stupeň:                                </t>
    </r>
    <r>
      <rPr>
        <b/>
        <sz val="10"/>
        <rFont val="Arial CE"/>
        <family val="2"/>
        <charset val="238"/>
      </rPr>
      <t>Dokumentace pro provádění stavby (DPS)</t>
    </r>
  </si>
  <si>
    <r>
      <t xml:space="preserve">Obsah dokumentace:            </t>
    </r>
    <r>
      <rPr>
        <b/>
        <sz val="10"/>
        <color indexed="8"/>
        <rFont val="Arial"/>
        <family val="2"/>
        <charset val="238"/>
      </rPr>
      <t xml:space="preserve">D.1.4.4 VZDUCHOTECHNIKA A CHLAZENÍ </t>
    </r>
  </si>
  <si>
    <t>Číslo zakázky:                      33-2021</t>
  </si>
  <si>
    <t>OCENĚNÝ SEZNAM STROJŮ A ZAŘÍZENÍ</t>
  </si>
  <si>
    <t>D.1.4.3-03a</t>
  </si>
  <si>
    <t>REKAPITULACE</t>
  </si>
  <si>
    <t>VZDUCHOTECHNIKA</t>
  </si>
  <si>
    <t>ZAŘÍZENÍ č.1</t>
  </si>
  <si>
    <t>SPOLEČNÝ MATERIÁL</t>
  </si>
  <si>
    <t>VZDUCHOTECHNIKA A CHLAZENÍ CELKEM (BEZ DPH)</t>
  </si>
  <si>
    <t>POZNÁMKA :</t>
  </si>
  <si>
    <t>Oceněný seznam strojů a zařízení je zpracován dle položek katalogu popisů a směrných cen stavebních prací ÚRS Praha pro</t>
  </si>
  <si>
    <t xml:space="preserve">cenovou úroveň 2023/I. To znamená, že příslušná položka obsahuje práce a materíály dle "Všeobecných podmínek" příslušného katalogu. </t>
  </si>
  <si>
    <t>Položky v katalogu neuvedené jsou ve výkazu uvedeny pod neúplným číslem položky, případně bez čísla.</t>
  </si>
  <si>
    <t>Pokud jsou v seznamu uvedeny konkrétní výrobky (případně obchodní názvy), slouží pro popis požadovaného standardu</t>
  </si>
  <si>
    <t xml:space="preserve">a ve většině případů nezakládají povinnost dodavatele stavby použít tyto konkrétní výrobky. </t>
  </si>
  <si>
    <t>Výrobky použité dodavatelem musí být srovnatelné s uvedeným standardem nebo mohou být ve standardu lepším.</t>
  </si>
  <si>
    <t>Oceněný seznam strojů a zařízení je proveden na úrovni dokumentace pro provádění stavby.</t>
  </si>
  <si>
    <t>Č.</t>
  </si>
  <si>
    <t>Popis položky</t>
  </si>
  <si>
    <t>M.J.</t>
  </si>
  <si>
    <t>Jednotková cena</t>
  </si>
  <si>
    <t>Náklady celkem</t>
  </si>
  <si>
    <t>Hmotnost</t>
  </si>
  <si>
    <t>Hmotnost celkem</t>
  </si>
  <si>
    <t>800-751</t>
  </si>
  <si>
    <t>Zařízení č. 1 – Odvětrání WC 1.02</t>
  </si>
  <si>
    <t>1.01</t>
  </si>
  <si>
    <t>751 39-8021</t>
  </si>
  <si>
    <t xml:space="preserve">Montáž větrací mřížky stěnové, průřezu do 0,04 m² </t>
  </si>
  <si>
    <t>ks</t>
  </si>
  <si>
    <t>Stěn. mřížka 320x100, vč. upevňovacího rámečku</t>
  </si>
  <si>
    <t>1 ks stěnové mřížky v barvě bílé, 1 ks v barvě černé,</t>
  </si>
  <si>
    <t>(instalaci up. rámečku provede stavba)</t>
  </si>
  <si>
    <t>1.02</t>
  </si>
  <si>
    <t>751 11-1012</t>
  </si>
  <si>
    <t>Montáž ventilátoru axiálního nástěnného, průměru přes 100 do 200 mm</t>
  </si>
  <si>
    <r>
      <t xml:space="preserve">Axiální nástěnný ventilátor </t>
    </r>
    <r>
      <rPr>
        <sz val="10"/>
        <rFont val="Calibri"/>
        <family val="2"/>
        <charset val="238"/>
      </rPr>
      <t>ø</t>
    </r>
    <r>
      <rPr>
        <sz val="10"/>
        <rFont val="Arial CE"/>
        <family val="2"/>
        <charset val="238"/>
      </rPr>
      <t>118 mm,</t>
    </r>
  </si>
  <si>
    <t>V=100 m³/h; ∆pext=cca 28 Pa; Piv= 20 W; 230 V; 50 Hz; doběh</t>
  </si>
  <si>
    <t>1.03</t>
  </si>
  <si>
    <t>751 39-8012</t>
  </si>
  <si>
    <t>Montáž větrací mřížky na kruhové potrubí prům. přes 100 do 200 mm</t>
  </si>
  <si>
    <t>Plastová větrací mřížka, průměr 125 mm, barva černá</t>
  </si>
  <si>
    <t>1.04</t>
  </si>
  <si>
    <t>až</t>
  </si>
  <si>
    <t>Neobsazeno</t>
  </si>
  <si>
    <t>1.09</t>
  </si>
  <si>
    <t>1.10</t>
  </si>
  <si>
    <t>751 51-0042</t>
  </si>
  <si>
    <t>Vzduchotechnické potrubí z pozinkovaného plechu, kruhové</t>
  </si>
  <si>
    <t>bez příruby, průměru přes 100 do 200 mm,</t>
  </si>
  <si>
    <t>včetně nákladů na dodání a montáž trub včetně tvarovek</t>
  </si>
  <si>
    <t>mezisoučet</t>
  </si>
  <si>
    <t>Přesun hmot</t>
  </si>
  <si>
    <t>998 75-1101</t>
  </si>
  <si>
    <t>v objektech výšky do 12 m</t>
  </si>
  <si>
    <t>Zařízení č. 1 celkem</t>
  </si>
  <si>
    <t>Společný materiál:</t>
  </si>
  <si>
    <t xml:space="preserve">Spojovací, těsnící a ostatní drobný montážní materiál </t>
  </si>
  <si>
    <t>Doprava</t>
  </si>
  <si>
    <t>Výpomoce</t>
  </si>
  <si>
    <t>Komplexní vyzkoušení, vyregulování a seřízení, zaškolení obsluhy</t>
  </si>
  <si>
    <t>hod</t>
  </si>
  <si>
    <t>Společný materiál celkem</t>
  </si>
  <si>
    <t xml:space="preserve">Množství   </t>
  </si>
  <si>
    <t>Jedn.</t>
  </si>
  <si>
    <t>cena/ks</t>
  </si>
  <si>
    <t>cena celkem</t>
  </si>
  <si>
    <t>montáž/ks</t>
  </si>
  <si>
    <t>montáž celkem</t>
  </si>
  <si>
    <t>Strukturovaná kabeláž a přístupový systém (SK + ACS)</t>
  </si>
  <si>
    <t>19" nástěnný rozvaděč S-RACK 12U 600 x 600mm (v=646mm, š=600mm, h=600mm)</t>
  </si>
  <si>
    <t>střešní ventilace pro S-rack, 4 ventilátory,digit.termostat</t>
  </si>
  <si>
    <t xml:space="preserve">19" nap.panel 8x230V ČSN,vypínač,přep.och.,tep.pojistka, 3m </t>
  </si>
  <si>
    <t xml:space="preserve">patchpanel 19" 24portů 1U </t>
  </si>
  <si>
    <t>19" vyvazovací panel 1U, 5x oko oceloplechové</t>
  </si>
  <si>
    <t>19"FO vana kompletní, 24xLC, 9/125µm OS2, výška 1U</t>
  </si>
  <si>
    <t>záslepka prázdného portu v patchpanelu HSER0, RAL 901</t>
  </si>
  <si>
    <t>konektor RJ45 (pro kabel FTP cat. 6)</t>
  </si>
  <si>
    <t>datová zásuvka pod omítku pro 2 moduly (45°),prázdná,RAL9010</t>
  </si>
  <si>
    <t>box na omítku pro zásuvky HSED0xUWxS, HSEDx2UWxF, RAL 9010</t>
  </si>
  <si>
    <t xml:space="preserve">šrouby a příslušenství k modulární zásuvce </t>
  </si>
  <si>
    <t>krabice přístrojová KP68</t>
  </si>
  <si>
    <t>krabice KUL 68-45/LD univerzální</t>
  </si>
  <si>
    <t>IP dome kamera, 4MP, MZVF, 8-32mm, WDR 140dB, 6 typů VA (AI), IR 50m, IP67</t>
  </si>
  <si>
    <t>Modul MiniGBIC/ SFP 1000Base MM (LC)</t>
  </si>
  <si>
    <t>optický patch cord 2m LC/LC duplex 9/125 OS2</t>
  </si>
  <si>
    <t>průmyslový managed switch 19"/1U, LAN-RING, 2x SFP, 4x SFP/GE, 16x FE PoE</t>
  </si>
  <si>
    <t>stíněný patch cord 1m cat.6</t>
  </si>
  <si>
    <t xml:space="preserve">Kabel FTP cat. 6 </t>
  </si>
  <si>
    <t>Kabel FTP PE cat 6</t>
  </si>
  <si>
    <t>Optický kabel 12vl 9/125 OS2</t>
  </si>
  <si>
    <t>chránička optického kabelu HDPE 40</t>
  </si>
  <si>
    <t>Drážka pro chráničku průměr 40mm</t>
  </si>
  <si>
    <t>Drážka pro chráničku průměr 20mm</t>
  </si>
  <si>
    <t>Trubka šedá ohebná, prům. 20mm</t>
  </si>
  <si>
    <t>Trubka šedá neohebná, prům. 20mm + příchytky, spojky atd.</t>
  </si>
  <si>
    <t>Trubka šedá ohebná, prům. 20mm + příchytky, spojky atd.</t>
  </si>
  <si>
    <t>Lišta vkládací  LV60x40</t>
  </si>
  <si>
    <t>Lišta vkládací  LV40x40</t>
  </si>
  <si>
    <t>Lišta vkládací  LV40x20</t>
  </si>
  <si>
    <t xml:space="preserve">Drobný montážní materiál (texy, zdrhovací pásky, vruty hmoždinky atd.)  </t>
  </si>
  <si>
    <t>kpl</t>
  </si>
  <si>
    <t>Sváry optického vlákna</t>
  </si>
  <si>
    <t>Certifikační měření optické a metalické kabeláže včetně měřícího protokolu</t>
  </si>
  <si>
    <t xml:space="preserve">Montáž </t>
  </si>
  <si>
    <t>Protipožární ucpávky</t>
  </si>
  <si>
    <t>Poplachový zabezpečovací a tísňový systém (PZTS)</t>
  </si>
  <si>
    <t>Modul posilovacího zdroje 2,75A v krytu s vestavěným koncentrátorem (P026-B)</t>
  </si>
  <si>
    <t>Akumulátor 12V / 12Ah, konektor Faston 187, životnost až 3 roky (UT12120)</t>
  </si>
  <si>
    <t>LCD klávesnice (MK7)</t>
  </si>
  <si>
    <t>PIR detektor DUAL element s držákem, vějíř 15m, montážní výška 1,8 - 2,4m, EOL  (KX15DD)</t>
  </si>
  <si>
    <t>Lišta vkládací  LV15x15</t>
  </si>
  <si>
    <t>Výkop 40cm široký 100cm hluboký</t>
  </si>
  <si>
    <t>Stavební rozpočet</t>
  </si>
  <si>
    <t>Č</t>
  </si>
  <si>
    <t>Kód</t>
  </si>
  <si>
    <t>Zkrácený popis</t>
  </si>
  <si>
    <t>Jednotková cena (Kč)</t>
  </si>
  <si>
    <t>Náklady celkem (Kč)</t>
  </si>
  <si>
    <t>GROUPCODE</t>
  </si>
  <si>
    <t>ISWORK</t>
  </si>
  <si>
    <t xml:space="preserve"> </t>
  </si>
  <si>
    <t>800-1</t>
  </si>
  <si>
    <t>131301201R00</t>
  </si>
  <si>
    <t>Hloubení zapažených jam v hor.4 do 100 m3</t>
  </si>
  <si>
    <t>P</t>
  </si>
  <si>
    <t>131301209R00</t>
  </si>
  <si>
    <t>Příplatek za lepivost - hloubení zapaž.jam v hor.4</t>
  </si>
  <si>
    <t>132201110R00</t>
  </si>
  <si>
    <t>Hloubení rýh š.do 60 cm v hor.3 do 50 m3, STROJNĚ</t>
  </si>
  <si>
    <t>132201119R00</t>
  </si>
  <si>
    <t>Přípl.za lepivost,hloubení rýh 60 cm,hor.3,STROJNĚ</t>
  </si>
  <si>
    <t>132301110R00</t>
  </si>
  <si>
    <t>Hloubení rýh š.do 60 cm v hor.4 do 50 m3,STROJNĚ</t>
  </si>
  <si>
    <t>132301119R00</t>
  </si>
  <si>
    <t>Přípl.za lepivost,hloubení rýh 60 cm,hor.4,STROJNĚ</t>
  </si>
  <si>
    <t>Nakládání výkopku z hor. 1 ÷ 4 v množství do 100 m3</t>
  </si>
  <si>
    <t>171201211VD</t>
  </si>
  <si>
    <t>Skládková zemina</t>
  </si>
  <si>
    <t>175101101RT2</t>
  </si>
  <si>
    <t>Obsyp potrubí bez prohození sypaniny</t>
  </si>
  <si>
    <t>181101101R00</t>
  </si>
  <si>
    <t>Úprava pláně v zářezech v hor. 1-4, bez zhutnění</t>
  </si>
  <si>
    <t>181201102R00</t>
  </si>
  <si>
    <t>Úprava pláně v násypech v hor. 1-4, se zhutněním</t>
  </si>
  <si>
    <t>45</t>
  </si>
  <si>
    <t>Podkladní a vedlejší konstrukce</t>
  </si>
  <si>
    <t>451572111R00</t>
  </si>
  <si>
    <t>Lože pod potrubí z kameniva těženého 0 - 4 mm</t>
  </si>
  <si>
    <t>451573111R00</t>
  </si>
  <si>
    <t>Lože pod potrubí ze štěrkopísku do 63 mm</t>
  </si>
  <si>
    <t>452313131R00</t>
  </si>
  <si>
    <t>Bloky pro potrubí z betonu C 12/15</t>
  </si>
  <si>
    <t>452353101R00</t>
  </si>
  <si>
    <t>Bednění bloků pod potrubí</t>
  </si>
  <si>
    <t>89</t>
  </si>
  <si>
    <t>Ostatní konstrukce a práce na trubním vedení</t>
  </si>
  <si>
    <t>892561111R00</t>
  </si>
  <si>
    <t>Zkouška těsnosti kanalizace DN do 125, vodou</t>
  </si>
  <si>
    <t>892855111R00</t>
  </si>
  <si>
    <t>Kontrola kanalizace TV kamerou do 15 m</t>
  </si>
  <si>
    <t>úsek</t>
  </si>
  <si>
    <t>899104111R00</t>
  </si>
  <si>
    <t>Osazení poklopu s rámem nad 150 kg</t>
  </si>
  <si>
    <t>894402211R00</t>
  </si>
  <si>
    <t>Osazení beton. skruží přechodových 60/100/70/9</t>
  </si>
  <si>
    <t>59224220VD</t>
  </si>
  <si>
    <t>Betonový roznášecí prstenec 1000/700 mm pro plastové šachty DN 600</t>
  </si>
  <si>
    <t>55340325</t>
  </si>
  <si>
    <t>Poklop D 400 litinový, bez odvětrání</t>
  </si>
  <si>
    <t>M</t>
  </si>
  <si>
    <t>89101VD</t>
  </si>
  <si>
    <t>Přečerpávací stanice, samonosná, PE, objem 200 l, 1 x 1-fázové čerpadlo, 230 V, průchodnost  50 mm</t>
  </si>
  <si>
    <t>soubor</t>
  </si>
  <si>
    <t>89102VD</t>
  </si>
  <si>
    <t>Kompozitní patní koleno pro čerpadlo, průchodnost 50 mm</t>
  </si>
  <si>
    <t>89103VD</t>
  </si>
  <si>
    <t>Plovákový spínač (10 m kabel)</t>
  </si>
  <si>
    <t>89104VD</t>
  </si>
  <si>
    <t>Technický rozvaděč pro 1 čerpadlo 230 V, nástěnné provedení</t>
  </si>
  <si>
    <t>89105VD</t>
  </si>
  <si>
    <t>Zprovoznění a montáž přečerpávací stanice s 1 čerpadlem</t>
  </si>
  <si>
    <t>899711122R00</t>
  </si>
  <si>
    <t>Fólie výstražná z PVChnědá, šířka 30 cm</t>
  </si>
  <si>
    <t>899713111R00</t>
  </si>
  <si>
    <t>Orientační tabulky na sloupku ocelovém, betonovém</t>
  </si>
  <si>
    <t>998276101R00</t>
  </si>
  <si>
    <t>Přesun hmot, trubní vedení plastová, otevř. výkop</t>
  </si>
  <si>
    <t>721</t>
  </si>
  <si>
    <t>Vnitřní kanalizace</t>
  </si>
  <si>
    <t>721170962R00</t>
  </si>
  <si>
    <t>Propojení dosavadního potrubí, D 63 mm</t>
  </si>
  <si>
    <t>721170965R00</t>
  </si>
  <si>
    <t>Propojení dosavadního potrubí, D 110 mm</t>
  </si>
  <si>
    <t>721176222R00</t>
  </si>
  <si>
    <t>Potrubí KG svodné (ležaté) v zemi, D 110 x 3,2 mm</t>
  </si>
  <si>
    <t>721176223R00</t>
  </si>
  <si>
    <t>Potrubí KG svodné (ležaté) v zemi, D 125 x 3,2 mm</t>
  </si>
  <si>
    <t>721177102R00</t>
  </si>
  <si>
    <t>Potrubí odhlučněné, třívrstvé z PP, připojovací, D 40 x 1,8 mm</t>
  </si>
  <si>
    <t>721177103R00</t>
  </si>
  <si>
    <t>Potrubí odhlučněné, třívrstvé z PP, připojovací, D 50 x 2,0 mm</t>
  </si>
  <si>
    <t>721177105R00</t>
  </si>
  <si>
    <t>Potrubí odhlučněné, třívrstvé z PP, připojovací, D 110 x 3,4 mm</t>
  </si>
  <si>
    <t>721177115R00</t>
  </si>
  <si>
    <t>Potrubí odhlučněné, třívrstvé z PP, odpadní svislé, D 110 x 3,4 mm</t>
  </si>
  <si>
    <t>721177125R00</t>
  </si>
  <si>
    <t>Čisticí kus pro potrubí odhlučněné, třívrstvé, odpadní svislé, D 110 mm</t>
  </si>
  <si>
    <t>721194104R00</t>
  </si>
  <si>
    <t>Vyvedení odpadních výpustek, D 40 mm</t>
  </si>
  <si>
    <t>721194105R00</t>
  </si>
  <si>
    <t>Vyvedení odpadních výpustek, D 50 mm</t>
  </si>
  <si>
    <t>721194109R00</t>
  </si>
  <si>
    <t>Vyvedení odpadních výpustek, D 110 mm</t>
  </si>
  <si>
    <t>721223423RT2</t>
  </si>
  <si>
    <t>Vpusť podlahová se zápachovou uzávěrkou, mřížka nerez 115 x 115 mm, D 50/75/110 mm</t>
  </si>
  <si>
    <t>721242115R00</t>
  </si>
  <si>
    <t>Lapač střešních splavenin litinový, DN 100 mm</t>
  </si>
  <si>
    <t>721273145R00</t>
  </si>
  <si>
    <t>Nástavec větrací z PVC, D 110 mm, délka 930 mm</t>
  </si>
  <si>
    <t>721273200RT3</t>
  </si>
  <si>
    <t>Souprava ventilační střešní PP, D 110 mm</t>
  </si>
  <si>
    <t>721290111R00</t>
  </si>
  <si>
    <t>Zkouška těsnosti kanalizace vodou DN 125 mm</t>
  </si>
  <si>
    <t>998721201R00</t>
  </si>
  <si>
    <t>Přesun hmot pro vnitřní kanalizaci, výšky do 6 m</t>
  </si>
  <si>
    <t>722</t>
  </si>
  <si>
    <t>Vnitřní vodovod</t>
  </si>
  <si>
    <t>722172431R00</t>
  </si>
  <si>
    <t>Potrubí plastové PP-RCT, včetně zednických výpomocí, D 20 x 2,3 mm, PN 22</t>
  </si>
  <si>
    <t>722172432R00</t>
  </si>
  <si>
    <t>Potrubí plastové PP-RCT, včetně zednických výpomocí, D 25 x 2,8 mm, PN 22</t>
  </si>
  <si>
    <t>722176112R00</t>
  </si>
  <si>
    <t>Montáž plastového vodovodního potrubí, polyfuzně svařovaného, D 20 mm</t>
  </si>
  <si>
    <t>722176113R00</t>
  </si>
  <si>
    <t>Montáž plastového vodovodního potrubí, polyfuzně svařovaného, D 25 mm</t>
  </si>
  <si>
    <t>722181212RZ6</t>
  </si>
  <si>
    <t>Izolace návleková termoizolační trubice (PE pěna) tl. stěny 9 mm, průměr potrubí 20 mm</t>
  </si>
  <si>
    <t>722181212RT8</t>
  </si>
  <si>
    <t>Izolace návleková termoizolační trubice (PE pěna) tl. stěny 9 mm, průměr potrubí 25 mm</t>
  </si>
  <si>
    <t>722181214RT8</t>
  </si>
  <si>
    <t>Izolace návleková termoizolační trubice (PE pěna) tl. stěny 20 mm, průměr potrubí 25 mm</t>
  </si>
  <si>
    <t>722190401R00</t>
  </si>
  <si>
    <t>Vyvedení a upevnění výpustek DN 15 mm</t>
  </si>
  <si>
    <t>722190402R00</t>
  </si>
  <si>
    <t>Vyvedení a upevnění výpustek DN 20 mm</t>
  </si>
  <si>
    <t>722190403R00</t>
  </si>
  <si>
    <t>Vyvedení a upevnění výpustek DN 25 mm</t>
  </si>
  <si>
    <t>722220111R00</t>
  </si>
  <si>
    <t>Nástěnka, pro výtokový ventil G 1/2"</t>
  </si>
  <si>
    <t>722220121R00</t>
  </si>
  <si>
    <t>Nástěnka, pro baterii G 1/2"</t>
  </si>
  <si>
    <t>pár</t>
  </si>
  <si>
    <t>722237123R00</t>
  </si>
  <si>
    <t>Kohout vodovodní, kulový,  DN 25 mm</t>
  </si>
  <si>
    <t>722237133R00</t>
  </si>
  <si>
    <t>Kohout vodovodní, kulový s vypouštěním, DN 25 mm</t>
  </si>
  <si>
    <t>722239103R00</t>
  </si>
  <si>
    <t>Montáž vodovodních armatur 2závity, G 1"</t>
  </si>
  <si>
    <t>722239101R00</t>
  </si>
  <si>
    <t>Montáž vodovodních armatur 2závity, G 1/2"</t>
  </si>
  <si>
    <t>722265113R00</t>
  </si>
  <si>
    <t>Vodoměr domovní SV DN 20, Qn 2,5 m3/h (resp. Q3 4m3/h)</t>
  </si>
  <si>
    <t>722269112R00</t>
  </si>
  <si>
    <t>Montáž vodoměru závitového jdnovt. suchob. G3/4"</t>
  </si>
  <si>
    <t>722280106R00</t>
  </si>
  <si>
    <t>Tlaková zkouška vodovodního potrubí DN 32 mm</t>
  </si>
  <si>
    <t>722290234R00</t>
  </si>
  <si>
    <t>Proplach a dezinfekce vodovodního potrubí DN 80 mm</t>
  </si>
  <si>
    <t>722173913R00</t>
  </si>
  <si>
    <t>Provedení spoje plastového vodovodního potrubí, polyfuzí, D 25 mm</t>
  </si>
  <si>
    <t>722174912R00</t>
  </si>
  <si>
    <t>Sestavení plastového rozvodu vody D 20 mm</t>
  </si>
  <si>
    <t>722174913R00</t>
  </si>
  <si>
    <t>Sestavení plastového rozvodu vody D 25 mm</t>
  </si>
  <si>
    <t>722237661R00</t>
  </si>
  <si>
    <t>Klapka vodovodní, zpětná DN 15 mm</t>
  </si>
  <si>
    <t>998722201R00</t>
  </si>
  <si>
    <t>Přesun hmot pro vnitřní vodovod, výšky do 6 m</t>
  </si>
  <si>
    <t>722173914R00</t>
  </si>
  <si>
    <t>Provedení spoje plastového vodovodního potrubí, polyfuzí, D 32 mm</t>
  </si>
  <si>
    <t>722173915R00</t>
  </si>
  <si>
    <t>Provedení spoje plastového vodovodního potrubí, polyfuzí, D 40 mm</t>
  </si>
  <si>
    <t>725</t>
  </si>
  <si>
    <t>Zařizovací předměty</t>
  </si>
  <si>
    <t>725119306R00</t>
  </si>
  <si>
    <t>Montáž klozetu závěsného</t>
  </si>
  <si>
    <t>725119401R00</t>
  </si>
  <si>
    <t>Montáž předstěnových systémů pro zazdění</t>
  </si>
  <si>
    <t>725119501T00VD</t>
  </si>
  <si>
    <t>Montáž tlakového mechanického splachovače</t>
  </si>
  <si>
    <t>725219401R00</t>
  </si>
  <si>
    <t>Montáž umyvadel na šrouby do zdiva</t>
  </si>
  <si>
    <t>725314290R00</t>
  </si>
  <si>
    <t>Příslušenství k dřezu v kuchyňské sestavě</t>
  </si>
  <si>
    <t>725530911R00</t>
  </si>
  <si>
    <t>Montáž zásobníků beztlakových 5 l</t>
  </si>
  <si>
    <t>725819201R00</t>
  </si>
  <si>
    <t>Montáž ventilu nástěnného  G 1/2</t>
  </si>
  <si>
    <t>725819401R00</t>
  </si>
  <si>
    <t>Montáž ventilu rohového s trubičkou G 1/2</t>
  </si>
  <si>
    <t>725829301R00</t>
  </si>
  <si>
    <t>Montáž baterie umyv.a dřezové stojánkové</t>
  </si>
  <si>
    <t>725859101R00</t>
  </si>
  <si>
    <t>Montáž ventilu odpadního do D 32 mm</t>
  </si>
  <si>
    <t>725859102R00</t>
  </si>
  <si>
    <t>Montáž ventilu odpadního do D 50 mm</t>
  </si>
  <si>
    <t>725869101R00</t>
  </si>
  <si>
    <t>Montáž uzávěrek zápach.umyvadlových D 32</t>
  </si>
  <si>
    <t>725869204R00</t>
  </si>
  <si>
    <t>Montáž uzávěrek zápach.dřez.jednoduchý D 40</t>
  </si>
  <si>
    <t>725989101R00</t>
  </si>
  <si>
    <t>Montáž dvířek kovových i z PH</t>
  </si>
  <si>
    <t>55144209VD</t>
  </si>
  <si>
    <t>Rohový ventil k baterii 1/2" x 3/8" s nerez sítkem (dřez, umyvadla), chrom</t>
  </si>
  <si>
    <t>55141228VD</t>
  </si>
  <si>
    <t>Umyvadlový sifon designový, chrom, kulatý, průměr odpadu DN 32, vtok 5/4"</t>
  </si>
  <si>
    <t>55141229VD</t>
  </si>
  <si>
    <t>Umyvadlová výpusť s rotační zátkou antivandal 5/4"-75 mm</t>
  </si>
  <si>
    <t>64214216VD</t>
  </si>
  <si>
    <t>Umyvadlo keramické klasické oblé 550 x 450 x 195, otvor pro baterii uprostřed a přepadem</t>
  </si>
  <si>
    <t>64214218VD</t>
  </si>
  <si>
    <t>Instalační sada pro umyvadlo</t>
  </si>
  <si>
    <t>64214205VD</t>
  </si>
  <si>
    <t>Zvukoizolační podložka umyvadlová mezi obklad a stěnu</t>
  </si>
  <si>
    <t>64238810VD</t>
  </si>
  <si>
    <t>Klozet závěsný keramický, hluboké splachování, hl.52 cm, š.36 cm, v.35 cm, oplach. kruh</t>
  </si>
  <si>
    <t>64238817VD</t>
  </si>
  <si>
    <t>Duroplastové sedátko s poklopem, nerez úchyty, odnímatelné, bílé</t>
  </si>
  <si>
    <t>64250931VD</t>
  </si>
  <si>
    <t>Vyrovnávací sada pro WC</t>
  </si>
  <si>
    <t>64250912VD</t>
  </si>
  <si>
    <t>Podomítkový modul pro závěsné WC, montáž na zeď,v.771mm, š.450 mm, s obezděním</t>
  </si>
  <si>
    <t>64250914VD</t>
  </si>
  <si>
    <t>Rovné odpadní připojení k WC modulu</t>
  </si>
  <si>
    <t>64250918VD</t>
  </si>
  <si>
    <t>Ovládací tlačítko, dvoučinné, mechanické, pro podomít. modul rozměr 247x165 mm, bílé</t>
  </si>
  <si>
    <t>725980122R00</t>
  </si>
  <si>
    <t>Dvířka z plastu, 150 x 200 mm "čistící kus"</t>
  </si>
  <si>
    <t>725860202R00</t>
  </si>
  <si>
    <t>Dřezová zápachová uzávěrka DN 50, materiál PP</t>
  </si>
  <si>
    <t>55141223VD</t>
  </si>
  <si>
    <t>Odpadní ventil se sítkem nerezová ocel DN 40 (6/4") kuchyňské dřezy</t>
  </si>
  <si>
    <t>54132282</t>
  </si>
  <si>
    <t>Beztlakový el. zásobník. ohřívač vody, (pod umyvadlo, dřez), objem 5,7 litrů, příkon 2 kW</t>
  </si>
  <si>
    <t>55141127VD</t>
  </si>
  <si>
    <t>Baterie umyvadlová stojánková páková pro beztlakové ohřívače</t>
  </si>
  <si>
    <t>55141128VD</t>
  </si>
  <si>
    <t>Baterie dřezová stojánková páková pro beztlakové ohřívače</t>
  </si>
  <si>
    <t>55120030VD</t>
  </si>
  <si>
    <t>Nerezový podomítkový box pro vestavbu do zdi s nezámrznou armaturou G1/2", EI zásuvka , rozměr 284x245x120 mm</t>
  </si>
  <si>
    <t>998725201R00</t>
  </si>
  <si>
    <t>Přesun hmot pro zařizovací předměty, výšky do 6 m</t>
  </si>
  <si>
    <t>Celkem:</t>
  </si>
  <si>
    <t>VMS Projekt s.r.o.</t>
  </si>
  <si>
    <t>PROJEKČNÍ POLOŽKOVÝ ROZPOČET</t>
  </si>
  <si>
    <t xml:space="preserve">Akce: </t>
  </si>
  <si>
    <t>Koupaliště Polanka</t>
  </si>
  <si>
    <t>Datum:</t>
  </si>
  <si>
    <t>Objekt:</t>
  </si>
  <si>
    <t>Recepce SO 11</t>
  </si>
  <si>
    <t>Část:</t>
  </si>
  <si>
    <t>D.1.4.   Elektroinstalace</t>
  </si>
  <si>
    <t>Cena celkem:</t>
  </si>
  <si>
    <t>Pol.č.</t>
  </si>
  <si>
    <t>Odd.</t>
  </si>
  <si>
    <t>DODÁVKA
j.cena (CZK)</t>
  </si>
  <si>
    <t>DODÁVKA 
cena celkem (CZK)</t>
  </si>
  <si>
    <t>MONTÁŽ 
j. cena (CZK)</t>
  </si>
  <si>
    <t>MONTÁŽ 
cena celkem (CZK)</t>
  </si>
  <si>
    <t>CENA CELKEM
(CZK)</t>
  </si>
  <si>
    <t>Oddíl 1:</t>
  </si>
  <si>
    <t xml:space="preserve">rozvaděče  </t>
  </si>
  <si>
    <t>x</t>
  </si>
  <si>
    <t>celkem:</t>
  </si>
  <si>
    <t>Rv Elektro R4 230/400V IP40/20 oceloplechový přisazený (dle projektové dokumentace)</t>
  </si>
  <si>
    <t>Oddíl 2:</t>
  </si>
  <si>
    <t>kabelové trasy (kabely, nosné konstrukce a chráničky)</t>
  </si>
  <si>
    <t>kabel CYA 4 zel./žlutý vč. svorek ZS16</t>
  </si>
  <si>
    <t>bm</t>
  </si>
  <si>
    <t xml:space="preserve">kabel CYA 25 zel./žlutý </t>
  </si>
  <si>
    <t>kabel CYKY-J  3 x 1,5</t>
  </si>
  <si>
    <t>kabel CYKY-J  3 x 2,5</t>
  </si>
  <si>
    <t>kabel CYKY-J  5 x 1,5</t>
  </si>
  <si>
    <t>Oddíl 3:</t>
  </si>
  <si>
    <t>přístroje elektro</t>
  </si>
  <si>
    <t>krabice pod ovladač PVC KU68/2</t>
  </si>
  <si>
    <t>vypínač č.6 IP 20 do krabice KU68 vč. krytky a rámečku</t>
  </si>
  <si>
    <t>vypínač - tlačítko č.8 IP 20 do krabice KU68 vč. krytky a rámečku</t>
  </si>
  <si>
    <t>zásuvka 230V, IP20 do krabice KU68 vč. rámečku</t>
  </si>
  <si>
    <t>svorkovnice ekvipotenciální EKV 16</t>
  </si>
  <si>
    <t xml:space="preserve">stojánková nabíjecí stanice pro 4 kola 230V </t>
  </si>
  <si>
    <t>Oddíl 4:</t>
  </si>
  <si>
    <t>svítidla</t>
  </si>
  <si>
    <t>svítidlo AN - stropní montáž LED 15W 150 IP44</t>
  </si>
  <si>
    <t>svítidlo C - stropní montáž LED 24W 330 IP54</t>
  </si>
  <si>
    <t xml:space="preserve">svítidlo GN - lřisazené liniové LED 44W vč. zdroje </t>
  </si>
  <si>
    <t>Oddíl 5:</t>
  </si>
  <si>
    <t>hromosvody, zemnící práce</t>
  </si>
  <si>
    <t>drát FeZn 10 vč. svorek</t>
  </si>
  <si>
    <t>pásek FeZn 30/4 vč. svorek a ošetření</t>
  </si>
  <si>
    <t>svorka SP1</t>
  </si>
  <si>
    <t>zemnící práce - hl.100cm, 50cm (výkop,pískové lože, zához, folie)</t>
  </si>
  <si>
    <t>Oddíl 6:</t>
  </si>
  <si>
    <t>Oddíl 7:</t>
  </si>
  <si>
    <t>ostatní náklady</t>
  </si>
  <si>
    <t>koordinace na stavbě</t>
  </si>
  <si>
    <t>montážní materiál</t>
  </si>
  <si>
    <t>ostatní neuvedené položky k řádnému dokončení díla</t>
  </si>
  <si>
    <t>projektová dokumentace - dodavatelská + skutečného provedení</t>
  </si>
  <si>
    <t>revize elektro, ostatní dokumentace pro předání stavby</t>
  </si>
  <si>
    <t>vedlejší náklady (IČ, dopravy, lešení, likvidace atd.)</t>
  </si>
  <si>
    <t>RTS 23/II</t>
  </si>
  <si>
    <t>Z01 přenosný hasicí přístroj</t>
  </si>
  <si>
    <t>7670002</t>
  </si>
  <si>
    <t>Z02 Barová deska recepce</t>
  </si>
  <si>
    <t>Z03 závěsnáý držák žebříku</t>
  </si>
  <si>
    <t>7670003</t>
  </si>
  <si>
    <t>7670004</t>
  </si>
  <si>
    <t xml:space="preserve">Z04 Revizní dvířka </t>
  </si>
  <si>
    <t>Z05 poklop pro zadláždění šachty</t>
  </si>
  <si>
    <t>Z06 jeklový svařenec</t>
  </si>
  <si>
    <t>7670005</t>
  </si>
  <si>
    <t>7670006</t>
  </si>
  <si>
    <t>118.1</t>
  </si>
  <si>
    <t>118.2</t>
  </si>
  <si>
    <t>118.5</t>
  </si>
  <si>
    <t>118.3</t>
  </si>
  <si>
    <t>118.4</t>
  </si>
  <si>
    <t>Dveře vnitřní rám z masivního dřeva, olehčená DTD deska, CPL laminát, 700/1970mm, včetně kování - D01</t>
  </si>
  <si>
    <t>Dveře vnitřní rám z masivního dřeva, odlehčená DTD deska, vč.kování, 900/1970mm - D02</t>
  </si>
  <si>
    <t>1+1</t>
  </si>
  <si>
    <t>Zárubeň ocelová pozinkovaný plech tl.1,5mm dvourámová pro dodatečnou montáž 900/1970mm, tl. stěny 100mm</t>
  </si>
  <si>
    <t>Osaz.zár.oc.2rámových, tl.stěny 100mm</t>
  </si>
  <si>
    <t>(9,625+8,7)*2*0,5*1,25</t>
  </si>
  <si>
    <t>3a</t>
  </si>
  <si>
    <t>3b</t>
  </si>
  <si>
    <t>9,625*8,7</t>
  </si>
  <si>
    <t>8,625*7,7*0,57+1*1*(1,87-0,57)</t>
  </si>
  <si>
    <t>Odkaz na mn. položky pořadí 6 : 62,06138</t>
  </si>
  <si>
    <t>0,78*0,5*(9,625+8,7)*2</t>
  </si>
  <si>
    <t>Výkres tvaru D1.2.b.1 : 0,22*8,7*9,625</t>
  </si>
  <si>
    <t>0,22*(8,7+9,625)*2</t>
  </si>
  <si>
    <t>Odkaz na mn. položky pořadí 13 : 8,06300</t>
  </si>
  <si>
    <t>18,42225*110/1000</t>
  </si>
  <si>
    <t>Beton podkladní pod základové konstrukce, prostý C12/15 X0</t>
  </si>
  <si>
    <t>Pás modif. asfalt samolep kód spec.stand. 505</t>
  </si>
  <si>
    <t>1*1</t>
  </si>
  <si>
    <t>pdl/02</t>
  </si>
  <si>
    <t>0,1*8,625*7,7+1*1*0,1</t>
  </si>
  <si>
    <t>311112315RT4</t>
  </si>
  <si>
    <t>Stěna z tvárnic ztraceného bednění, tl. 150 mm včetně zalití betonem</t>
  </si>
  <si>
    <t>RTS 23/ II</t>
  </si>
  <si>
    <t>311112315RT3</t>
  </si>
  <si>
    <t>Stěna z tvárnic ztraceného bednění, tl. 100 mm včetně zalití betonem</t>
  </si>
  <si>
    <t>21a</t>
  </si>
  <si>
    <t>21b</t>
  </si>
  <si>
    <t>stěna sv.šachty</t>
  </si>
  <si>
    <t>(1+1)*2*1*1,1</t>
  </si>
  <si>
    <t>(1+1)*2*1*2</t>
  </si>
  <si>
    <t>117,55*0,04*1,1</t>
  </si>
  <si>
    <t>Odkaz na hmot. položky pořadí 75 : 0,01</t>
  </si>
  <si>
    <t>Odkaz na hmot. položky pořadí 74 :0,02</t>
  </si>
  <si>
    <t>Odkaz na hmot. položky pořadí 72 : 0,11</t>
  </si>
  <si>
    <t>Odkaz na hmot. položky pořadí 73 : 0,11</t>
  </si>
  <si>
    <t>Odkaz na hmot. položky pořadí 71 : 0,02</t>
  </si>
  <si>
    <t>Odkaz na hmot. položky pořadí 38 : 0,29</t>
  </si>
  <si>
    <t>Odkaz na hmot. položky pořadí 21a : 1,5</t>
  </si>
  <si>
    <t>Odkaz na hmot. položky pořadí 21b : 1,2</t>
  </si>
  <si>
    <t>Odkaz na hmot. položky pořadí 19 : 17,02</t>
  </si>
  <si>
    <t>Odkaz na hmot. položky pořadí 15 : 2,07</t>
  </si>
  <si>
    <t>Odkaz na hmot. položky pořadí 13 : 0,32</t>
  </si>
  <si>
    <t>Odkaz na hmot. položky pořadí 12 : 46,52</t>
  </si>
  <si>
    <t>Odkaz na hmot. položky pořadí 24 : 0,04</t>
  </si>
  <si>
    <t>Odkaz na hmot. položky pořadí 16 : 36,09</t>
  </si>
  <si>
    <t>Odkaz na hmot. položky pořadí 47 : 2,39</t>
  </si>
  <si>
    <t>Odkaz na hmot. položky pořadí 48 : 0,04</t>
  </si>
  <si>
    <t>Odkaz na hmot. položky pořadí 49 : 1,000</t>
  </si>
  <si>
    <t>Odkaz na hmot. položky pořadí 50 : 0,01</t>
  </si>
  <si>
    <t>Odkaz na hmot. položky pořadí 52 : 2,75</t>
  </si>
  <si>
    <t>Odkaz na hmot. položky pořadí 54 :0,17</t>
  </si>
  <si>
    <t>Odkaz na hmot. položky pořadí 45 : 0,01</t>
  </si>
  <si>
    <t>Odkaz na hmot. položky pořadí 44 : 0,01</t>
  </si>
  <si>
    <t>Odkaz na hmot. položky pořadí 43 : 0,11</t>
  </si>
  <si>
    <t>Odkaz na hmot. položky pořadí 42 : 0,23</t>
  </si>
  <si>
    <t>Odkaz na hmot. položky pořadí 41 : 1,10</t>
  </si>
  <si>
    <t>Odkaz na hmot. položky pořadí 40 : 0,340</t>
  </si>
  <si>
    <t>Odkaz na hmot. položky pořadí 39 : 0,02</t>
  </si>
  <si>
    <t>Odkaz na hmot. položky pořadí 36 : 1,94</t>
  </si>
  <si>
    <t>Odkaz na hmot. položky pořadí 35 : 0,27</t>
  </si>
  <si>
    <t>Odkaz na hmot. položky pořadí 34 : 4,70</t>
  </si>
  <si>
    <t>Odkaz na hmot. položky pořadí 33 : 0,02</t>
  </si>
  <si>
    <t>Odkaz na hmot. položky pořadí 32 : 2,82</t>
  </si>
  <si>
    <t>Odkaz na hmot. položky pořadí 31 : 0,03</t>
  </si>
  <si>
    <t>Odkaz na hmot. položky pořadí 29 : 0,02</t>
  </si>
  <si>
    <t>Odkaz na hmot. položky pořadí 28 : 0,41</t>
  </si>
  <si>
    <t>Odkaz na hmot. položky pořadí 26 : 0,23</t>
  </si>
  <si>
    <t>Odkaz na hmot. položky pořadí 25 : 0,77</t>
  </si>
  <si>
    <t>Odkaz na hmot. položky pořadí 23 : 1,07</t>
  </si>
  <si>
    <t>Odkaz na hmot. položky pořadí 22 : 6,29</t>
  </si>
  <si>
    <t>Odkaz na hmot. položky pořadí 21 : 13,770</t>
  </si>
  <si>
    <t>Odkaz na hmot. položky pořadí 20 : 0,23</t>
  </si>
  <si>
    <t>fungicidní a insekticidní vodou ředitelný koncentrát pro dlouhodobou preventivní ochranu dřeva v interiérech i exteriérech proti plísním, dřevokazným houbám a dřevokaznému hmyzu.</t>
  </si>
  <si>
    <t>Nátěr tesařských konstrukcí  2x</t>
  </si>
  <si>
    <t>čerpací stanice - dodávka ÚT (ocenit pouze montáž)</t>
  </si>
  <si>
    <t>ventilátor VZT - dodávka VZT (ocenit pouze montáž)</t>
  </si>
  <si>
    <t>el. ohřívač průtokový vč. akumulační nádrže - dodávka ZTI (ocenit pouze montáž)</t>
  </si>
  <si>
    <t>modul RJ45 stíněný, Cat.6, samozářezový, SFA</t>
  </si>
  <si>
    <t>číslo pol.</t>
  </si>
  <si>
    <t>Spirálně vinuté VZT potrubí, provedení těsné, vč. tvarovek (DN 125 - 0,3 m)</t>
  </si>
  <si>
    <t>Hliníkový držák pro IP dome kameru 155×183.5×240mm</t>
  </si>
  <si>
    <t>Ohebná dvouplášťová korugovaná bezhalogenová chránička červená průměr 40mm</t>
  </si>
  <si>
    <t>Bezhalogenový nízkofrekvenční sdělovací kabel s Al stíněním s malým množstvím uvolněného tepla v případě požáru 3x2x0,8</t>
  </si>
  <si>
    <t>Bezhalogenový nízkofrekvenční sdělovací kabel s Al stíněním s malým množstvím uvolněného tepla v případě požáru 5x2x0,8</t>
  </si>
  <si>
    <t xml:space="preserve">chránička dvouplášťová do země 40 </t>
  </si>
  <si>
    <t>ostatní technologie - zapojení (pouze montáž)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</si>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</sst>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00"/>
    <numFmt numFmtId="166" formatCode="#,##0.000"/>
    <numFmt numFmtId="167" formatCode="0.000"/>
  </numFmts>
  <fonts count="5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b/>
      <sz val="10"/>
      <color indexed="8"/>
      <name val="Arial"/>
      <family val="2"/>
      <charset val="238"/>
    </font>
    <font>
      <b/>
      <u/>
      <sz val="10"/>
      <name val="Arial CE"/>
      <family val="2"/>
      <charset val="238"/>
    </font>
    <font>
      <b/>
      <u/>
      <sz val="10"/>
      <name val="Arial"/>
      <family val="2"/>
      <charset val="238"/>
    </font>
    <font>
      <sz val="10"/>
      <name val="Calibri"/>
      <family val="2"/>
      <charset val="238"/>
    </font>
    <font>
      <sz val="8"/>
      <color indexed="10"/>
      <name val="Arial CE"/>
      <family val="2"/>
      <charset val="238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Tahoma"/>
      <family val="2"/>
    </font>
    <font>
      <sz val="18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 CE"/>
      <family val="2"/>
      <charset val="238"/>
    </font>
    <font>
      <b/>
      <sz val="10"/>
      <color theme="0"/>
      <name val="Arial CE"/>
      <family val="2"/>
      <charset val="238"/>
    </font>
    <font>
      <sz val="8"/>
      <color theme="0" tint="-0.499984740745262"/>
      <name val="Arial CE"/>
      <family val="2"/>
      <charset val="238"/>
    </font>
    <font>
      <i/>
      <sz val="10"/>
      <name val="Arial CE"/>
      <family val="2"/>
      <charset val="238"/>
    </font>
    <font>
      <i/>
      <sz val="9"/>
      <name val="Arial CE"/>
      <family val="2"/>
      <charset val="238"/>
    </font>
    <font>
      <sz val="9"/>
      <color theme="0" tint="-0.499984740745262"/>
      <name val="Arial CE"/>
      <family val="2"/>
      <charset val="238"/>
    </font>
    <font>
      <sz val="11"/>
      <color indexed="16"/>
      <name val="Calibri"/>
      <family val="2"/>
      <charset val="238"/>
    </font>
    <font>
      <b/>
      <i/>
      <sz val="12"/>
      <color rgb="FFC00000"/>
      <name val="Arial CE"/>
      <family val="2"/>
      <charset val="238"/>
    </font>
    <font>
      <i/>
      <sz val="9"/>
      <color rgb="FFC00000"/>
      <name val="Arial CE"/>
      <family val="2"/>
      <charset val="238"/>
    </font>
    <font>
      <b/>
      <i/>
      <sz val="11"/>
      <color rgb="FFC00000"/>
      <name val="Arial CE"/>
      <family val="2"/>
      <charset val="238"/>
    </font>
    <font>
      <i/>
      <sz val="11"/>
      <color rgb="FFC00000"/>
      <name val="Arial CE"/>
      <family val="2"/>
      <charset val="238"/>
    </font>
    <font>
      <b/>
      <sz val="11"/>
      <color rgb="FFC00000"/>
      <name val="Arial CE"/>
      <family val="2"/>
      <charset val="238"/>
    </font>
    <font>
      <b/>
      <sz val="8"/>
      <color rgb="FFC00000"/>
      <name val="Arial CE"/>
      <family val="2"/>
      <charset val="238"/>
    </font>
    <font>
      <sz val="11"/>
      <color rgb="FFC00000"/>
      <name val="Arial CE"/>
      <family val="2"/>
      <charset val="238"/>
    </font>
    <font>
      <b/>
      <sz val="12"/>
      <color rgb="FFC00000"/>
      <name val="Arial CE"/>
      <family val="2"/>
      <charset val="238"/>
    </font>
    <font>
      <i/>
      <sz val="12"/>
      <color rgb="FFC00000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sz val="9"/>
      <color rgb="FFCCFFFF"/>
      <name val="Arial CE"/>
      <family val="2"/>
      <charset val="238"/>
    </font>
    <font>
      <sz val="8"/>
      <color theme="0"/>
      <name val="Arial CE"/>
      <family val="2"/>
      <charset val="238"/>
    </font>
    <font>
      <sz val="8"/>
      <color theme="0" tint="-0.249977111117893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color theme="0" tint="-0.249977111117893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Calibri"/>
      <family val="2"/>
      <charset val="238"/>
    </font>
    <font>
      <strike/>
      <sz val="10"/>
      <name val="Arial CE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47"/>
        <bgColor indexed="27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indexed="9"/>
        <b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41"/>
      </patternFill>
    </fill>
    <fill>
      <patternFill patternType="solid">
        <fgColor rgb="FFFFFF00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/>
      <top/>
      <bottom/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38" fillId="10" borderId="0"/>
    <xf numFmtId="0" fontId="30" fillId="0" borderId="0"/>
    <xf numFmtId="0" fontId="1" fillId="0" borderId="0"/>
    <xf numFmtId="0" fontId="1" fillId="0" borderId="0"/>
    <xf numFmtId="0" fontId="1" fillId="0" borderId="0"/>
  </cellStyleXfs>
  <cellXfs count="54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19" fillId="0" borderId="0" xfId="0" applyFont="1" applyAlignment="1">
      <alignment wrapText="1"/>
    </xf>
    <xf numFmtId="165" fontId="17" fillId="0" borderId="0" xfId="0" quotePrefix="1" applyNumberFormat="1" applyFont="1" applyAlignment="1">
      <alignment horizontal="left" vertical="top" wrapText="1"/>
    </xf>
    <xf numFmtId="0" fontId="0" fillId="0" borderId="0" xfId="0" applyAlignment="1">
      <alignment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4" fontId="1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166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horizontal="left"/>
      <protection locked="0"/>
    </xf>
    <xf numFmtId="0" fontId="26" fillId="0" borderId="0" xfId="0" applyFont="1" applyProtection="1">
      <protection locked="0"/>
    </xf>
    <xf numFmtId="0" fontId="16" fillId="0" borderId="0" xfId="0" applyFont="1" applyAlignment="1" applyProtection="1">
      <alignment horizontal="center"/>
      <protection locked="0"/>
    </xf>
    <xf numFmtId="4" fontId="16" fillId="0" borderId="0" xfId="0" applyNumberFormat="1" applyFont="1" applyAlignment="1" applyProtection="1">
      <alignment horizontal="right"/>
      <protection locked="0"/>
    </xf>
    <xf numFmtId="165" fontId="16" fillId="0" borderId="0" xfId="0" applyNumberFormat="1" applyFont="1" applyAlignment="1" applyProtection="1">
      <alignment horizontal="right"/>
      <protection locked="0"/>
    </xf>
    <xf numFmtId="166" fontId="16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0" fontId="9" fillId="0" borderId="0" xfId="0" applyFont="1"/>
    <xf numFmtId="4" fontId="5" fillId="0" borderId="0" xfId="0" applyNumberFormat="1" applyFont="1"/>
    <xf numFmtId="0" fontId="29" fillId="0" borderId="0" xfId="0" applyFont="1"/>
    <xf numFmtId="0" fontId="31" fillId="0" borderId="64" xfId="0" applyFont="1" applyBorder="1" applyAlignment="1">
      <alignment horizontal="left" vertical="center"/>
    </xf>
    <xf numFmtId="0" fontId="31" fillId="0" borderId="65" xfId="0" applyFont="1" applyBorder="1" applyAlignment="1">
      <alignment horizontal="left" vertical="center"/>
    </xf>
    <xf numFmtId="0" fontId="30" fillId="8" borderId="0" xfId="0" applyFont="1" applyFill="1" applyAlignment="1">
      <alignment horizontal="left" vertical="center"/>
    </xf>
    <xf numFmtId="0" fontId="31" fillId="9" borderId="59" xfId="0" applyFont="1" applyFill="1" applyBorder="1" applyAlignment="1">
      <alignment horizontal="left" vertical="center"/>
    </xf>
    <xf numFmtId="0" fontId="31" fillId="9" borderId="0" xfId="0" applyFont="1" applyFill="1" applyAlignment="1">
      <alignment horizontal="left" vertical="center"/>
    </xf>
    <xf numFmtId="0" fontId="31" fillId="9" borderId="0" xfId="0" applyFont="1" applyFill="1" applyAlignment="1">
      <alignment horizontal="right" vertical="center"/>
    </xf>
    <xf numFmtId="4" fontId="31" fillId="9" borderId="60" xfId="0" applyNumberFormat="1" applyFont="1" applyFill="1" applyBorder="1" applyAlignment="1">
      <alignment horizontal="right" vertical="center"/>
    </xf>
    <xf numFmtId="1" fontId="30" fillId="0" borderId="59" xfId="0" applyNumberFormat="1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4" fontId="30" fillId="0" borderId="0" xfId="0" applyNumberFormat="1" applyFont="1" applyAlignment="1">
      <alignment horizontal="right" vertical="center"/>
    </xf>
    <xf numFmtId="4" fontId="30" fillId="0" borderId="60" xfId="0" applyNumberFormat="1" applyFont="1" applyBorder="1" applyAlignment="1">
      <alignment horizontal="right" vertical="center"/>
    </xf>
    <xf numFmtId="4" fontId="30" fillId="0" borderId="0" xfId="0" applyNumberFormat="1" applyFont="1" applyAlignment="1">
      <alignment horizontal="left" vertical="center"/>
    </xf>
    <xf numFmtId="1" fontId="30" fillId="0" borderId="61" xfId="0" applyNumberFormat="1" applyFont="1" applyBorder="1" applyAlignment="1">
      <alignment horizontal="left" vertical="center"/>
    </xf>
    <xf numFmtId="0" fontId="30" fillId="0" borderId="62" xfId="0" applyFont="1" applyBorder="1" applyAlignment="1">
      <alignment horizontal="left" vertical="center"/>
    </xf>
    <xf numFmtId="4" fontId="30" fillId="0" borderId="63" xfId="0" applyNumberFormat="1" applyFont="1" applyBorder="1" applyAlignment="1">
      <alignment horizontal="right" vertical="center"/>
    </xf>
    <xf numFmtId="0" fontId="31" fillId="0" borderId="0" xfId="0" applyFont="1" applyAlignment="1">
      <alignment horizontal="left" vertical="center"/>
    </xf>
    <xf numFmtId="4" fontId="31" fillId="0" borderId="0" xfId="0" applyNumberFormat="1" applyFont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49" fontId="16" fillId="0" borderId="39" xfId="0" applyNumberFormat="1" applyFont="1" applyBorder="1" applyAlignment="1">
      <alignment vertical="top"/>
    </xf>
    <xf numFmtId="165" fontId="16" fillId="0" borderId="39" xfId="0" quotePrefix="1" applyNumberFormat="1" applyFont="1" applyBorder="1" applyAlignment="1">
      <alignment horizontal="left" vertical="top" wrapText="1"/>
    </xf>
    <xf numFmtId="165" fontId="16" fillId="0" borderId="39" xfId="0" applyNumberFormat="1" applyFont="1" applyBorder="1" applyAlignment="1">
      <alignment horizontal="center" vertical="top" wrapText="1" shrinkToFit="1"/>
    </xf>
    <xf numFmtId="165" fontId="16" fillId="0" borderId="39" xfId="0" applyNumberFormat="1" applyFont="1" applyBorder="1" applyAlignment="1">
      <alignment vertical="top" wrapText="1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44" xfId="0" applyFont="1" applyBorder="1" applyAlignment="1">
      <alignment horizontal="right" vertical="top"/>
    </xf>
    <xf numFmtId="16" fontId="16" fillId="0" borderId="41" xfId="0" applyNumberFormat="1" applyFont="1" applyBorder="1" applyAlignment="1">
      <alignment horizontal="right" vertical="top"/>
    </xf>
    <xf numFmtId="0" fontId="16" fillId="0" borderId="75" xfId="0" applyFont="1" applyBorder="1" applyAlignment="1">
      <alignment vertical="top"/>
    </xf>
    <xf numFmtId="49" fontId="16" fillId="0" borderId="75" xfId="0" applyNumberFormat="1" applyFont="1" applyBorder="1" applyAlignment="1">
      <alignment vertical="top"/>
    </xf>
    <xf numFmtId="165" fontId="16" fillId="0" borderId="75" xfId="0" quotePrefix="1" applyNumberFormat="1" applyFont="1" applyBorder="1" applyAlignment="1">
      <alignment horizontal="left" vertical="top" wrapText="1"/>
    </xf>
    <xf numFmtId="165" fontId="16" fillId="0" borderId="75" xfId="0" applyNumberFormat="1" applyFont="1" applyBorder="1" applyAlignment="1">
      <alignment horizontal="center" vertical="top" wrapText="1" shrinkToFit="1"/>
    </xf>
    <xf numFmtId="166" fontId="16" fillId="0" borderId="0" xfId="0" applyNumberFormat="1" applyFont="1" applyAlignment="1">
      <alignment vertical="top" shrinkToFit="1"/>
    </xf>
    <xf numFmtId="16" fontId="16" fillId="0" borderId="75" xfId="0" applyNumberFormat="1" applyFont="1" applyBorder="1" applyAlignment="1">
      <alignment vertical="top"/>
    </xf>
    <xf numFmtId="165" fontId="16" fillId="0" borderId="75" xfId="0" applyNumberFormat="1" applyFont="1" applyBorder="1" applyAlignment="1">
      <alignment vertical="top" wrapText="1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4" fontId="0" fillId="0" borderId="0" xfId="0" applyNumberFormat="1" applyAlignment="1">
      <alignment horizontal="center"/>
    </xf>
    <xf numFmtId="4" fontId="27" fillId="0" borderId="0" xfId="0" applyNumberFormat="1" applyFont="1" applyAlignment="1">
      <alignment vertical="top"/>
    </xf>
    <xf numFmtId="0" fontId="1" fillId="0" borderId="0" xfId="6"/>
    <xf numFmtId="0" fontId="1" fillId="0" borderId="0" xfId="7" applyAlignment="1">
      <alignment wrapText="1"/>
    </xf>
    <xf numFmtId="0" fontId="1" fillId="0" borderId="0" xfId="8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4" fontId="16" fillId="3" borderId="45" xfId="0" applyNumberFormat="1" applyFont="1" applyFill="1" applyBorder="1" applyAlignment="1">
      <alignment vertical="top" shrinkToFit="1"/>
    </xf>
    <xf numFmtId="4" fontId="16" fillId="3" borderId="42" xfId="0" applyNumberFormat="1" applyFont="1" applyFill="1" applyBorder="1" applyAlignment="1">
      <alignment vertical="top" shrinkToFit="1"/>
    </xf>
    <xf numFmtId="4" fontId="30" fillId="15" borderId="0" xfId="0" applyNumberFormat="1" applyFont="1" applyFill="1" applyAlignment="1" applyProtection="1">
      <alignment horizontal="right" vertical="center"/>
      <protection locked="0"/>
    </xf>
    <xf numFmtId="4" fontId="30" fillId="15" borderId="62" xfId="0" applyNumberFormat="1" applyFont="1" applyFill="1" applyBorder="1" applyAlignment="1" applyProtection="1">
      <alignment horizontal="right" vertical="center"/>
      <protection locked="0"/>
    </xf>
    <xf numFmtId="4" fontId="16" fillId="16" borderId="68" xfId="3" applyNumberFormat="1" applyFont="1" applyFill="1" applyBorder="1" applyAlignment="1" applyProtection="1">
      <alignment horizontal="right" vertical="center"/>
      <protection locked="0"/>
    </xf>
    <xf numFmtId="0" fontId="1" fillId="0" borderId="0" xfId="2"/>
    <xf numFmtId="0" fontId="16" fillId="0" borderId="0" xfId="2" applyFont="1"/>
    <xf numFmtId="4" fontId="1" fillId="0" borderId="0" xfId="2" applyNumberFormat="1" applyAlignment="1">
      <alignment horizontal="right"/>
    </xf>
    <xf numFmtId="0" fontId="1" fillId="0" borderId="0" xfId="2" applyAlignment="1">
      <alignment horizontal="right"/>
    </xf>
    <xf numFmtId="4" fontId="5" fillId="0" borderId="0" xfId="2" applyNumberFormat="1" applyFont="1" applyAlignment="1">
      <alignment horizontal="right"/>
    </xf>
    <xf numFmtId="0" fontId="32" fillId="0" borderId="0" xfId="3" applyFont="1" applyAlignment="1">
      <alignment vertical="top"/>
    </xf>
    <xf numFmtId="0" fontId="16" fillId="0" borderId="0" xfId="3" applyFont="1" applyAlignment="1">
      <alignment vertical="center"/>
    </xf>
    <xf numFmtId="0" fontId="1" fillId="0" borderId="0" xfId="3" applyAlignment="1">
      <alignment vertical="center" wrapText="1"/>
    </xf>
    <xf numFmtId="4" fontId="1" fillId="0" borderId="0" xfId="3" applyNumberFormat="1" applyAlignment="1">
      <alignment horizontal="right" vertical="center" wrapText="1"/>
    </xf>
    <xf numFmtId="0" fontId="1" fillId="0" borderId="0" xfId="3" applyAlignment="1">
      <alignment horizontal="right" vertical="center" wrapText="1"/>
    </xf>
    <xf numFmtId="0" fontId="1" fillId="0" borderId="0" xfId="3" applyAlignment="1">
      <alignment vertical="center"/>
    </xf>
    <xf numFmtId="14" fontId="33" fillId="0" borderId="0" xfId="3" applyNumberFormat="1" applyFont="1" applyAlignment="1">
      <alignment vertical="center"/>
    </xf>
    <xf numFmtId="0" fontId="34" fillId="0" borderId="0" xfId="3" applyFont="1" applyAlignment="1">
      <alignment horizontal="left"/>
    </xf>
    <xf numFmtId="0" fontId="16" fillId="0" borderId="0" xfId="3" applyFont="1" applyAlignment="1">
      <alignment horizontal="center"/>
    </xf>
    <xf numFmtId="0" fontId="4" fillId="0" borderId="0" xfId="3" applyFont="1" applyAlignment="1">
      <alignment horizontal="left"/>
    </xf>
    <xf numFmtId="0" fontId="35" fillId="0" borderId="0" xfId="3" applyFont="1"/>
    <xf numFmtId="4" fontId="36" fillId="0" borderId="0" xfId="3" applyNumberFormat="1" applyFont="1" applyAlignment="1">
      <alignment horizontal="right"/>
    </xf>
    <xf numFmtId="0" fontId="35" fillId="0" borderId="0" xfId="3" applyFont="1" applyAlignment="1">
      <alignment horizontal="right"/>
    </xf>
    <xf numFmtId="4" fontId="35" fillId="0" borderId="0" xfId="3" applyNumberFormat="1" applyFont="1" applyAlignment="1">
      <alignment horizontal="right"/>
    </xf>
    <xf numFmtId="0" fontId="1" fillId="0" borderId="0" xfId="3" applyAlignment="1">
      <alignment horizontal="right" vertical="center"/>
    </xf>
    <xf numFmtId="0" fontId="37" fillId="0" borderId="0" xfId="0" applyFont="1" applyAlignment="1">
      <alignment horizontal="right" vertical="center"/>
    </xf>
    <xf numFmtId="14" fontId="11" fillId="0" borderId="0" xfId="2" applyNumberFormat="1" applyFont="1" applyAlignment="1">
      <alignment horizontal="right" vertical="center"/>
    </xf>
    <xf numFmtId="0" fontId="13" fillId="0" borderId="0" xfId="3" applyFont="1" applyAlignment="1">
      <alignment horizontal="left"/>
    </xf>
    <xf numFmtId="0" fontId="5" fillId="0" borderId="0" xfId="3" applyFont="1" applyAlignment="1">
      <alignment vertical="center"/>
    </xf>
    <xf numFmtId="0" fontId="39" fillId="0" borderId="0" xfId="4" applyFont="1" applyFill="1" applyAlignment="1">
      <alignment horizontal="left"/>
    </xf>
    <xf numFmtId="1" fontId="40" fillId="0" borderId="0" xfId="3" applyNumberFormat="1" applyFont="1" applyAlignment="1">
      <alignment horizontal="left"/>
    </xf>
    <xf numFmtId="4" fontId="3" fillId="0" borderId="0" xfId="3" applyNumberFormat="1" applyFont="1" applyAlignment="1">
      <alignment horizontal="right" vertical="center"/>
    </xf>
    <xf numFmtId="0" fontId="35" fillId="0" borderId="0" xfId="3" applyFont="1" applyAlignment="1">
      <alignment horizontal="right" vertical="center"/>
    </xf>
    <xf numFmtId="4" fontId="41" fillId="0" borderId="0" xfId="4" applyNumberFormat="1" applyFont="1" applyFill="1" applyAlignment="1">
      <alignment horizontal="right" vertical="center"/>
    </xf>
    <xf numFmtId="4" fontId="42" fillId="0" borderId="0" xfId="4" applyNumberFormat="1" applyFont="1" applyFill="1" applyAlignment="1">
      <alignment horizontal="right" vertical="center"/>
    </xf>
    <xf numFmtId="4" fontId="39" fillId="0" borderId="66" xfId="4" applyNumberFormat="1" applyFont="1" applyFill="1" applyBorder="1" applyAlignment="1">
      <alignment horizontal="right" vertical="center"/>
    </xf>
    <xf numFmtId="49" fontId="43" fillId="0" borderId="67" xfId="4" applyNumberFormat="1" applyFont="1" applyFill="1" applyBorder="1" applyAlignment="1">
      <alignment horizontal="center" vertical="center"/>
    </xf>
    <xf numFmtId="49" fontId="44" fillId="0" borderId="67" xfId="4" applyNumberFormat="1" applyFont="1" applyFill="1" applyBorder="1" applyAlignment="1">
      <alignment horizontal="center" vertical="center"/>
    </xf>
    <xf numFmtId="0" fontId="39" fillId="0" borderId="67" xfId="4" applyFont="1" applyFill="1" applyBorder="1" applyAlignment="1">
      <alignment horizontal="left" vertical="center"/>
    </xf>
    <xf numFmtId="0" fontId="45" fillId="0" borderId="67" xfId="4" applyFont="1" applyFill="1" applyBorder="1" applyAlignment="1">
      <alignment horizontal="left" vertical="center"/>
    </xf>
    <xf numFmtId="4" fontId="46" fillId="0" borderId="67" xfId="4" applyNumberFormat="1" applyFont="1" applyFill="1" applyBorder="1" applyAlignment="1">
      <alignment horizontal="right" vertical="center"/>
    </xf>
    <xf numFmtId="0" fontId="46" fillId="0" borderId="67" xfId="4" applyFont="1" applyFill="1" applyBorder="1" applyAlignment="1">
      <alignment horizontal="right" vertical="center"/>
    </xf>
    <xf numFmtId="4" fontId="39" fillId="0" borderId="67" xfId="4" applyNumberFormat="1" applyFont="1" applyFill="1" applyBorder="1" applyAlignment="1">
      <alignment horizontal="right" vertical="center"/>
    </xf>
    <xf numFmtId="4" fontId="47" fillId="0" borderId="67" xfId="4" applyNumberFormat="1" applyFont="1" applyFill="1" applyBorder="1" applyAlignment="1">
      <alignment horizontal="right" vertical="center"/>
    </xf>
    <xf numFmtId="4" fontId="39" fillId="0" borderId="0" xfId="4" applyNumberFormat="1" applyFont="1" applyFill="1" applyAlignment="1">
      <alignment horizontal="right" vertical="center"/>
    </xf>
    <xf numFmtId="49" fontId="48" fillId="11" borderId="68" xfId="3" applyNumberFormat="1" applyFont="1" applyFill="1" applyBorder="1" applyAlignment="1">
      <alignment horizontal="center" vertical="top" wrapText="1"/>
    </xf>
    <xf numFmtId="0" fontId="48" fillId="11" borderId="68" xfId="3" applyFont="1" applyFill="1" applyBorder="1" applyAlignment="1">
      <alignment horizontal="left" vertical="top" wrapText="1"/>
    </xf>
    <xf numFmtId="4" fontId="48" fillId="11" borderId="68" xfId="3" applyNumberFormat="1" applyFont="1" applyFill="1" applyBorder="1" applyAlignment="1">
      <alignment horizontal="right" vertical="top" wrapText="1"/>
    </xf>
    <xf numFmtId="0" fontId="48" fillId="11" borderId="68" xfId="3" applyFont="1" applyFill="1" applyBorder="1" applyAlignment="1">
      <alignment horizontal="right" vertical="top" wrapText="1"/>
    </xf>
    <xf numFmtId="4" fontId="48" fillId="11" borderId="69" xfId="3" applyNumberFormat="1" applyFont="1" applyFill="1" applyBorder="1" applyAlignment="1">
      <alignment horizontal="right" vertical="top" wrapText="1"/>
    </xf>
    <xf numFmtId="4" fontId="48" fillId="0" borderId="70" xfId="3" applyNumberFormat="1" applyFont="1" applyBorder="1" applyAlignment="1">
      <alignment horizontal="right" vertical="top" wrapText="1"/>
    </xf>
    <xf numFmtId="4" fontId="49" fillId="11" borderId="68" xfId="3" applyNumberFormat="1" applyFont="1" applyFill="1" applyBorder="1" applyAlignment="1">
      <alignment horizontal="right" vertical="top" wrapText="1"/>
    </xf>
    <xf numFmtId="0" fontId="3" fillId="12" borderId="69" xfId="4" applyFont="1" applyFill="1" applyBorder="1" applyAlignment="1">
      <alignment horizontal="left" vertical="center"/>
    </xf>
    <xf numFmtId="0" fontId="11" fillId="12" borderId="71" xfId="4" applyFont="1" applyFill="1" applyBorder="1" applyAlignment="1">
      <alignment horizontal="center" vertical="center"/>
    </xf>
    <xf numFmtId="0" fontId="11" fillId="12" borderId="71" xfId="4" applyFont="1" applyFill="1" applyBorder="1" applyAlignment="1">
      <alignment vertical="center" wrapText="1"/>
    </xf>
    <xf numFmtId="0" fontId="50" fillId="12" borderId="71" xfId="4" applyFont="1" applyFill="1" applyBorder="1" applyAlignment="1">
      <alignment horizontal="left" vertical="center"/>
    </xf>
    <xf numFmtId="4" fontId="3" fillId="12" borderId="71" xfId="4" applyNumberFormat="1" applyFont="1" applyFill="1" applyBorder="1" applyAlignment="1">
      <alignment horizontal="right" vertical="center"/>
    </xf>
    <xf numFmtId="4" fontId="13" fillId="12" borderId="71" xfId="3" applyNumberFormat="1" applyFont="1" applyFill="1" applyBorder="1" applyAlignment="1">
      <alignment horizontal="right" vertical="center"/>
    </xf>
    <xf numFmtId="4" fontId="13" fillId="12" borderId="71" xfId="4" applyNumberFormat="1" applyFont="1" applyFill="1" applyBorder="1" applyAlignment="1">
      <alignment horizontal="right" vertical="center"/>
    </xf>
    <xf numFmtId="4" fontId="13" fillId="12" borderId="72" xfId="4" applyNumberFormat="1" applyFont="1" applyFill="1" applyBorder="1" applyAlignment="1">
      <alignment horizontal="right" vertical="center"/>
    </xf>
    <xf numFmtId="4" fontId="11" fillId="0" borderId="0" xfId="4" applyNumberFormat="1" applyFont="1" applyFill="1" applyAlignment="1">
      <alignment horizontal="right" vertical="center"/>
    </xf>
    <xf numFmtId="4" fontId="11" fillId="12" borderId="73" xfId="4" applyNumberFormat="1" applyFont="1" applyFill="1" applyBorder="1" applyAlignment="1">
      <alignment horizontal="right" vertical="center"/>
    </xf>
    <xf numFmtId="0" fontId="51" fillId="0" borderId="68" xfId="3" applyFont="1" applyBorder="1" applyAlignment="1">
      <alignment horizontal="center" vertical="center"/>
    </xf>
    <xf numFmtId="0" fontId="52" fillId="0" borderId="68" xfId="3" applyFont="1" applyBorder="1" applyAlignment="1">
      <alignment horizontal="center" vertical="center"/>
    </xf>
    <xf numFmtId="0" fontId="16" fillId="0" borderId="68" xfId="3" applyFont="1" applyBorder="1" applyAlignment="1">
      <alignment vertical="center" wrapText="1"/>
    </xf>
    <xf numFmtId="49" fontId="16" fillId="0" borderId="68" xfId="3" applyNumberFormat="1" applyFont="1" applyBorder="1" applyAlignment="1">
      <alignment horizontal="center" vertical="center" shrinkToFit="1"/>
    </xf>
    <xf numFmtId="4" fontId="16" fillId="0" borderId="68" xfId="3" applyNumberFormat="1" applyFont="1" applyBorder="1" applyAlignment="1">
      <alignment horizontal="right" vertical="center"/>
    </xf>
    <xf numFmtId="4" fontId="16" fillId="0" borderId="0" xfId="3" applyNumberFormat="1" applyFont="1" applyAlignment="1">
      <alignment horizontal="right" vertical="center"/>
    </xf>
    <xf numFmtId="4" fontId="53" fillId="0" borderId="74" xfId="3" applyNumberFormat="1" applyFont="1" applyBorder="1" applyAlignment="1">
      <alignment horizontal="right" vertical="center"/>
    </xf>
    <xf numFmtId="0" fontId="54" fillId="12" borderId="71" xfId="4" applyFont="1" applyFill="1" applyBorder="1" applyAlignment="1">
      <alignment horizontal="center" vertical="center"/>
    </xf>
    <xf numFmtId="4" fontId="11" fillId="12" borderId="74" xfId="4" applyNumberFormat="1" applyFont="1" applyFill="1" applyBorder="1" applyAlignment="1">
      <alignment horizontal="right" vertical="center"/>
    </xf>
    <xf numFmtId="0" fontId="55" fillId="0" borderId="68" xfId="3" applyFont="1" applyBorder="1" applyAlignment="1">
      <alignment vertical="center" wrapText="1"/>
    </xf>
    <xf numFmtId="0" fontId="16" fillId="13" borderId="68" xfId="3" applyFont="1" applyFill="1" applyBorder="1" applyAlignment="1">
      <alignment vertical="center" wrapText="1"/>
    </xf>
    <xf numFmtId="49" fontId="16" fillId="13" borderId="68" xfId="3" applyNumberFormat="1" applyFont="1" applyFill="1" applyBorder="1" applyAlignment="1">
      <alignment horizontal="center" vertical="center" shrinkToFit="1"/>
    </xf>
    <xf numFmtId="4" fontId="16" fillId="13" borderId="68" xfId="3" applyNumberFormat="1" applyFont="1" applyFill="1" applyBorder="1" applyAlignment="1">
      <alignment horizontal="right" vertical="center"/>
    </xf>
    <xf numFmtId="4" fontId="16" fillId="15" borderId="68" xfId="3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165" fontId="1" fillId="0" borderId="0" xfId="0" applyNumberFormat="1" applyFont="1"/>
    <xf numFmtId="166" fontId="1" fillId="0" borderId="0" xfId="0" applyNumberFormat="1" applyFont="1" applyAlignment="1">
      <alignment horizontal="right"/>
    </xf>
    <xf numFmtId="0" fontId="1" fillId="0" borderId="47" xfId="0" applyFont="1" applyBorder="1" applyAlignment="1">
      <alignment horizontal="left"/>
    </xf>
    <xf numFmtId="0" fontId="1" fillId="0" borderId="48" xfId="0" applyFont="1" applyBorder="1" applyAlignment="1">
      <alignment horizontal="left"/>
    </xf>
    <xf numFmtId="0" fontId="1" fillId="0" borderId="48" xfId="0" applyFont="1" applyBorder="1" applyAlignment="1">
      <alignment horizontal="center"/>
    </xf>
    <xf numFmtId="4" fontId="1" fillId="0" borderId="48" xfId="0" applyNumberFormat="1" applyFont="1" applyBorder="1" applyAlignment="1">
      <alignment horizontal="right"/>
    </xf>
    <xf numFmtId="4" fontId="1" fillId="0" borderId="48" xfId="0" applyNumberFormat="1" applyFont="1" applyBorder="1"/>
    <xf numFmtId="165" fontId="1" fillId="0" borderId="48" xfId="0" applyNumberFormat="1" applyFont="1" applyBorder="1"/>
    <xf numFmtId="166" fontId="1" fillId="0" borderId="49" xfId="0" applyNumberFormat="1" applyFont="1" applyBorder="1" applyAlignment="1">
      <alignment horizontal="right"/>
    </xf>
    <xf numFmtId="0" fontId="1" fillId="0" borderId="50" xfId="0" applyFont="1" applyBorder="1" applyAlignment="1">
      <alignment horizontal="left"/>
    </xf>
    <xf numFmtId="0" fontId="5" fillId="0" borderId="0" xfId="0" applyFont="1" applyAlignment="1">
      <alignment horizontal="left"/>
    </xf>
    <xf numFmtId="166" fontId="1" fillId="0" borderId="51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21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0" fillId="0" borderId="51" xfId="0" applyBorder="1"/>
    <xf numFmtId="0" fontId="1" fillId="0" borderId="52" xfId="0" applyFont="1" applyBorder="1" applyAlignment="1">
      <alignment horizontal="left"/>
    </xf>
    <xf numFmtId="0" fontId="0" fillId="0" borderId="53" xfId="0" applyBorder="1"/>
    <xf numFmtId="0" fontId="1" fillId="0" borderId="53" xfId="0" applyFont="1" applyBorder="1" applyAlignment="1">
      <alignment horizontal="left"/>
    </xf>
    <xf numFmtId="0" fontId="1" fillId="0" borderId="53" xfId="0" applyFont="1" applyBorder="1" applyAlignment="1">
      <alignment horizontal="center"/>
    </xf>
    <xf numFmtId="4" fontId="1" fillId="0" borderId="53" xfId="0" applyNumberFormat="1" applyFont="1" applyBorder="1" applyAlignment="1">
      <alignment horizontal="right"/>
    </xf>
    <xf numFmtId="4" fontId="1" fillId="0" borderId="53" xfId="0" applyNumberFormat="1" applyFont="1" applyBorder="1"/>
    <xf numFmtId="0" fontId="0" fillId="0" borderId="54" xfId="0" applyBorder="1"/>
    <xf numFmtId="0" fontId="16" fillId="5" borderId="55" xfId="0" applyFont="1" applyFill="1" applyBorder="1" applyAlignment="1">
      <alignment horizontal="left"/>
    </xf>
    <xf numFmtId="0" fontId="16" fillId="5" borderId="55" xfId="0" applyFont="1" applyFill="1" applyBorder="1" applyAlignment="1">
      <alignment horizontal="center"/>
    </xf>
    <xf numFmtId="4" fontId="16" fillId="5" borderId="55" xfId="0" applyNumberFormat="1" applyFont="1" applyFill="1" applyBorder="1" applyAlignment="1">
      <alignment horizontal="right"/>
    </xf>
    <xf numFmtId="165" fontId="16" fillId="5" borderId="55" xfId="0" applyNumberFormat="1" applyFont="1" applyFill="1" applyBorder="1" applyAlignment="1">
      <alignment horizontal="right"/>
    </xf>
    <xf numFmtId="166" fontId="16" fillId="5" borderId="55" xfId="0" applyNumberFormat="1" applyFont="1" applyFill="1" applyBorder="1" applyAlignment="1">
      <alignment horizontal="right"/>
    </xf>
    <xf numFmtId="0" fontId="1" fillId="0" borderId="56" xfId="0" applyFont="1" applyBorder="1" applyAlignment="1">
      <alignment horizontal="left"/>
    </xf>
    <xf numFmtId="0" fontId="4" fillId="0" borderId="56" xfId="0" applyFont="1" applyBorder="1" applyAlignment="1">
      <alignment horizontal="left"/>
    </xf>
    <xf numFmtId="0" fontId="1" fillId="0" borderId="56" xfId="0" applyFont="1" applyBorder="1" applyAlignment="1">
      <alignment horizontal="center"/>
    </xf>
    <xf numFmtId="4" fontId="1" fillId="0" borderId="56" xfId="0" applyNumberFormat="1" applyFont="1" applyBorder="1" applyAlignment="1">
      <alignment horizontal="right"/>
    </xf>
    <xf numFmtId="4" fontId="1" fillId="0" borderId="56" xfId="0" applyNumberFormat="1" applyFont="1" applyBorder="1"/>
    <xf numFmtId="166" fontId="1" fillId="0" borderId="56" xfId="0" applyNumberFormat="1" applyFont="1" applyBorder="1" applyAlignment="1">
      <alignment horizontal="right"/>
    </xf>
    <xf numFmtId="0" fontId="1" fillId="0" borderId="56" xfId="0" applyFont="1" applyBorder="1"/>
    <xf numFmtId="0" fontId="16" fillId="0" borderId="56" xfId="0" applyFont="1" applyBorder="1" applyAlignment="1">
      <alignment horizontal="left"/>
    </xf>
    <xf numFmtId="0" fontId="22" fillId="0" borderId="56" xfId="0" applyFont="1" applyBorder="1"/>
    <xf numFmtId="0" fontId="0" fillId="0" borderId="56" xfId="0" applyBorder="1"/>
    <xf numFmtId="4" fontId="16" fillId="0" borderId="56" xfId="0" applyNumberFormat="1" applyFont="1" applyBorder="1" applyAlignment="1">
      <alignment horizontal="center"/>
    </xf>
    <xf numFmtId="4" fontId="16" fillId="0" borderId="56" xfId="0" applyNumberFormat="1" applyFont="1" applyBorder="1" applyAlignment="1">
      <alignment horizontal="right"/>
    </xf>
    <xf numFmtId="165" fontId="16" fillId="0" borderId="56" xfId="0" applyNumberFormat="1" applyFont="1" applyBorder="1" applyAlignment="1">
      <alignment horizontal="right"/>
    </xf>
    <xf numFmtId="49" fontId="1" fillId="0" borderId="56" xfId="0" applyNumberFormat="1" applyFont="1" applyBorder="1" applyAlignment="1">
      <alignment horizontal="left"/>
    </xf>
    <xf numFmtId="166" fontId="1" fillId="0" borderId="56" xfId="0" applyNumberFormat="1" applyFont="1" applyBorder="1"/>
    <xf numFmtId="0" fontId="16" fillId="0" borderId="57" xfId="0" applyFont="1" applyBorder="1" applyAlignment="1">
      <alignment horizontal="left"/>
    </xf>
    <xf numFmtId="0" fontId="0" fillId="0" borderId="57" xfId="0" applyBorder="1"/>
    <xf numFmtId="0" fontId="1" fillId="0" borderId="57" xfId="0" applyFont="1" applyBorder="1" applyAlignment="1">
      <alignment horizontal="center"/>
    </xf>
    <xf numFmtId="4" fontId="1" fillId="0" borderId="57" xfId="0" applyNumberFormat="1" applyFont="1" applyBorder="1" applyAlignment="1">
      <alignment horizontal="right"/>
    </xf>
    <xf numFmtId="4" fontId="1" fillId="0" borderId="57" xfId="0" applyNumberFormat="1" applyFont="1" applyBorder="1"/>
    <xf numFmtId="166" fontId="1" fillId="0" borderId="57" xfId="0" applyNumberFormat="1" applyFont="1" applyBorder="1"/>
    <xf numFmtId="166" fontId="1" fillId="0" borderId="57" xfId="0" applyNumberFormat="1" applyFont="1" applyBorder="1" applyAlignment="1">
      <alignment horizontal="right"/>
    </xf>
    <xf numFmtId="167" fontId="1" fillId="0" borderId="56" xfId="0" applyNumberFormat="1" applyFont="1" applyBorder="1"/>
    <xf numFmtId="0" fontId="0" fillId="0" borderId="56" xfId="0" applyBorder="1" applyAlignment="1">
      <alignment wrapText="1"/>
    </xf>
    <xf numFmtId="0" fontId="1" fillId="0" borderId="57" xfId="0" applyFont="1" applyBorder="1" applyAlignment="1">
      <alignment horizontal="left"/>
    </xf>
    <xf numFmtId="0" fontId="16" fillId="0" borderId="57" xfId="0" applyFont="1" applyBorder="1" applyAlignment="1">
      <alignment horizontal="center"/>
    </xf>
    <xf numFmtId="4" fontId="16" fillId="0" borderId="57" xfId="0" applyNumberFormat="1" applyFont="1" applyBorder="1" applyAlignment="1">
      <alignment horizontal="right"/>
    </xf>
    <xf numFmtId="167" fontId="16" fillId="0" borderId="57" xfId="0" applyNumberFormat="1" applyFont="1" applyBorder="1" applyAlignment="1">
      <alignment horizontal="right"/>
    </xf>
    <xf numFmtId="166" fontId="16" fillId="0" borderId="57" xfId="0" applyNumberFormat="1" applyFont="1" applyBorder="1" applyAlignment="1">
      <alignment horizontal="right"/>
    </xf>
    <xf numFmtId="167" fontId="1" fillId="0" borderId="57" xfId="0" applyNumberFormat="1" applyFont="1" applyBorder="1"/>
    <xf numFmtId="49" fontId="1" fillId="0" borderId="58" xfId="0" applyNumberFormat="1" applyFont="1" applyBorder="1" applyAlignment="1">
      <alignment horizontal="left"/>
    </xf>
    <xf numFmtId="0" fontId="16" fillId="0" borderId="58" xfId="0" applyFont="1" applyBorder="1" applyAlignment="1">
      <alignment horizontal="left"/>
    </xf>
    <xf numFmtId="0" fontId="0" fillId="0" borderId="58" xfId="0" applyBorder="1"/>
    <xf numFmtId="0" fontId="1" fillId="0" borderId="58" xfId="0" applyFont="1" applyBorder="1" applyAlignment="1">
      <alignment horizontal="center"/>
    </xf>
    <xf numFmtId="4" fontId="1" fillId="0" borderId="58" xfId="0" applyNumberFormat="1" applyFont="1" applyBorder="1" applyAlignment="1">
      <alignment horizontal="right"/>
    </xf>
    <xf numFmtId="4" fontId="1" fillId="0" borderId="58" xfId="0" applyNumberFormat="1" applyFont="1" applyBorder="1"/>
    <xf numFmtId="167" fontId="1" fillId="0" borderId="58" xfId="0" applyNumberFormat="1" applyFont="1" applyBorder="1"/>
    <xf numFmtId="166" fontId="1" fillId="0" borderId="58" xfId="0" applyNumberFormat="1" applyFont="1" applyBorder="1" applyAlignment="1">
      <alignment horizontal="right"/>
    </xf>
    <xf numFmtId="166" fontId="16" fillId="0" borderId="56" xfId="0" applyNumberFormat="1" applyFont="1" applyBorder="1" applyAlignment="1">
      <alignment horizontal="right"/>
    </xf>
    <xf numFmtId="49" fontId="1" fillId="0" borderId="57" xfId="0" applyNumberFormat="1" applyFont="1" applyBorder="1" applyAlignment="1">
      <alignment horizontal="left"/>
    </xf>
    <xf numFmtId="0" fontId="22" fillId="0" borderId="57" xfId="0" applyFont="1" applyBorder="1"/>
    <xf numFmtId="4" fontId="16" fillId="0" borderId="57" xfId="0" applyNumberFormat="1" applyFont="1" applyBorder="1" applyAlignment="1">
      <alignment horizontal="center"/>
    </xf>
    <xf numFmtId="165" fontId="16" fillId="0" borderId="57" xfId="0" applyNumberFormat="1" applyFont="1" applyBorder="1" applyAlignment="1">
      <alignment horizontal="right"/>
    </xf>
    <xf numFmtId="0" fontId="1" fillId="0" borderId="56" xfId="5" applyFont="1" applyBorder="1" applyAlignment="1">
      <alignment horizontal="left"/>
    </xf>
    <xf numFmtId="167" fontId="16" fillId="0" borderId="56" xfId="0" applyNumberFormat="1" applyFont="1" applyBorder="1" applyAlignment="1">
      <alignment horizontal="right"/>
    </xf>
    <xf numFmtId="0" fontId="1" fillId="0" borderId="56" xfId="5" applyFont="1" applyBorder="1"/>
    <xf numFmtId="0" fontId="1" fillId="0" borderId="57" xfId="5" applyFont="1" applyBorder="1"/>
    <xf numFmtId="0" fontId="16" fillId="6" borderId="58" xfId="0" applyFont="1" applyFill="1" applyBorder="1" applyAlignment="1">
      <alignment horizontal="left"/>
    </xf>
    <xf numFmtId="0" fontId="5" fillId="6" borderId="58" xfId="0" applyFont="1" applyFill="1" applyBorder="1" applyAlignment="1">
      <alignment horizontal="left"/>
    </xf>
    <xf numFmtId="4" fontId="16" fillId="6" borderId="58" xfId="0" applyNumberFormat="1" applyFont="1" applyFill="1" applyBorder="1" applyAlignment="1">
      <alignment horizontal="center"/>
    </xf>
    <xf numFmtId="4" fontId="16" fillId="6" borderId="58" xfId="0" applyNumberFormat="1" applyFont="1" applyFill="1" applyBorder="1" applyAlignment="1">
      <alignment horizontal="right"/>
    </xf>
    <xf numFmtId="4" fontId="5" fillId="6" borderId="58" xfId="0" applyNumberFormat="1" applyFont="1" applyFill="1" applyBorder="1" applyAlignment="1">
      <alignment horizontal="right"/>
    </xf>
    <xf numFmtId="165" fontId="1" fillId="6" borderId="58" xfId="0" applyNumberFormat="1" applyFont="1" applyFill="1" applyBorder="1"/>
    <xf numFmtId="165" fontId="24" fillId="0" borderId="56" xfId="0" applyNumberFormat="1" applyFont="1" applyBorder="1" applyAlignment="1">
      <alignment horizontal="right"/>
    </xf>
    <xf numFmtId="166" fontId="24" fillId="0" borderId="56" xfId="0" applyNumberFormat="1" applyFont="1" applyBorder="1" applyAlignment="1">
      <alignment horizontal="right"/>
    </xf>
    <xf numFmtId="0" fontId="16" fillId="7" borderId="57" xfId="0" applyFont="1" applyFill="1" applyBorder="1" applyAlignment="1">
      <alignment horizontal="left"/>
    </xf>
    <xf numFmtId="0" fontId="5" fillId="7" borderId="57" xfId="0" applyFont="1" applyFill="1" applyBorder="1" applyAlignment="1">
      <alignment horizontal="left"/>
    </xf>
    <xf numFmtId="0" fontId="16" fillId="7" borderId="57" xfId="0" applyFont="1" applyFill="1" applyBorder="1" applyAlignment="1">
      <alignment horizontal="center"/>
    </xf>
    <xf numFmtId="4" fontId="16" fillId="7" borderId="57" xfId="0" applyNumberFormat="1" applyFont="1" applyFill="1" applyBorder="1" applyAlignment="1">
      <alignment horizontal="right"/>
    </xf>
    <xf numFmtId="4" fontId="21" fillId="7" borderId="57" xfId="0" applyNumberFormat="1" applyFont="1" applyFill="1" applyBorder="1" applyAlignment="1">
      <alignment horizontal="right"/>
    </xf>
    <xf numFmtId="165" fontId="24" fillId="7" borderId="57" xfId="0" applyNumberFormat="1" applyFont="1" applyFill="1" applyBorder="1" applyAlignment="1">
      <alignment horizontal="right"/>
    </xf>
    <xf numFmtId="166" fontId="24" fillId="7" borderId="57" xfId="0" applyNumberFormat="1" applyFont="1" applyFill="1" applyBorder="1" applyAlignment="1">
      <alignment horizontal="right"/>
    </xf>
    <xf numFmtId="0" fontId="5" fillId="0" borderId="58" xfId="0" applyFont="1" applyBorder="1" applyAlignment="1">
      <alignment horizontal="left"/>
    </xf>
    <xf numFmtId="0" fontId="16" fillId="0" borderId="58" xfId="0" applyFont="1" applyBorder="1" applyAlignment="1">
      <alignment horizontal="center"/>
    </xf>
    <xf numFmtId="4" fontId="16" fillId="0" borderId="58" xfId="0" applyNumberFormat="1" applyFont="1" applyBorder="1" applyAlignment="1">
      <alignment horizontal="right"/>
    </xf>
    <xf numFmtId="4" fontId="21" fillId="0" borderId="58" xfId="0" applyNumberFormat="1" applyFont="1" applyBorder="1" applyAlignment="1">
      <alignment horizontal="right"/>
    </xf>
    <xf numFmtId="165" fontId="24" fillId="0" borderId="58" xfId="0" applyNumberFormat="1" applyFont="1" applyBorder="1" applyAlignment="1">
      <alignment horizontal="right"/>
    </xf>
    <xf numFmtId="166" fontId="24" fillId="0" borderId="58" xfId="0" applyNumberFormat="1" applyFont="1" applyBorder="1" applyAlignment="1">
      <alignment horizontal="right"/>
    </xf>
    <xf numFmtId="0" fontId="25" fillId="0" borderId="56" xfId="0" applyFont="1" applyBorder="1"/>
    <xf numFmtId="0" fontId="16" fillId="0" borderId="56" xfId="0" applyFont="1" applyBorder="1" applyAlignment="1">
      <alignment horizontal="center"/>
    </xf>
    <xf numFmtId="4" fontId="21" fillId="0" borderId="56" xfId="0" applyNumberFormat="1" applyFont="1" applyBorder="1" applyAlignment="1">
      <alignment horizontal="right"/>
    </xf>
    <xf numFmtId="165" fontId="1" fillId="0" borderId="57" xfId="0" applyNumberFormat="1" applyFont="1" applyBorder="1"/>
    <xf numFmtId="0" fontId="16" fillId="0" borderId="55" xfId="0" applyFont="1" applyBorder="1" applyAlignment="1">
      <alignment horizontal="left"/>
    </xf>
    <xf numFmtId="0" fontId="0" fillId="0" borderId="55" xfId="0" applyBorder="1"/>
    <xf numFmtId="0" fontId="1" fillId="0" borderId="55" xfId="0" applyFont="1" applyBorder="1" applyAlignment="1">
      <alignment horizontal="center"/>
    </xf>
    <xf numFmtId="4" fontId="1" fillId="0" borderId="55" xfId="0" applyNumberFormat="1" applyFont="1" applyBorder="1" applyAlignment="1">
      <alignment horizontal="right"/>
    </xf>
    <xf numFmtId="165" fontId="1" fillId="0" borderId="55" xfId="0" applyNumberFormat="1" applyFont="1" applyBorder="1"/>
    <xf numFmtId="166" fontId="1" fillId="0" borderId="55" xfId="0" applyNumberFormat="1" applyFont="1" applyBorder="1" applyAlignment="1">
      <alignment horizontal="right"/>
    </xf>
    <xf numFmtId="165" fontId="1" fillId="0" borderId="56" xfId="0" applyNumberFormat="1" applyFont="1" applyBorder="1"/>
    <xf numFmtId="0" fontId="1" fillId="0" borderId="55" xfId="0" applyFont="1" applyBorder="1" applyAlignment="1">
      <alignment horizontal="left"/>
    </xf>
    <xf numFmtId="165" fontId="16" fillId="7" borderId="57" xfId="0" applyNumberFormat="1" applyFont="1" applyFill="1" applyBorder="1" applyAlignment="1">
      <alignment horizontal="right"/>
    </xf>
    <xf numFmtId="166" fontId="16" fillId="7" borderId="57" xfId="0" applyNumberFormat="1" applyFont="1" applyFill="1" applyBorder="1" applyAlignment="1">
      <alignment horizontal="right"/>
    </xf>
    <xf numFmtId="4" fontId="1" fillId="15" borderId="56" xfId="0" applyNumberFormat="1" applyFont="1" applyFill="1" applyBorder="1" applyProtection="1">
      <protection locked="0"/>
    </xf>
    <xf numFmtId="4" fontId="1" fillId="15" borderId="57" xfId="0" applyNumberFormat="1" applyFont="1" applyFill="1" applyBorder="1" applyProtection="1">
      <protection locked="0"/>
    </xf>
    <xf numFmtId="4" fontId="1" fillId="15" borderId="55" xfId="0" applyNumberFormat="1" applyFont="1" applyFill="1" applyBorder="1" applyProtection="1">
      <protection locked="0"/>
    </xf>
    <xf numFmtId="4" fontId="0" fillId="15" borderId="0" xfId="0" applyNumberFormat="1" applyFill="1" applyProtection="1">
      <protection locked="0"/>
    </xf>
    <xf numFmtId="4" fontId="0" fillId="14" borderId="0" xfId="0" applyNumberFormat="1" applyFill="1" applyProtection="1">
      <protection locked="0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56" fillId="0" borderId="0" xfId="2" applyFont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8" fillId="2" borderId="0" xfId="0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30" fillId="0" borderId="62" xfId="0" applyFont="1" applyBorder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31" fillId="9" borderId="0" xfId="0" applyFont="1" applyFill="1" applyAlignment="1">
      <alignment horizontal="left" vertical="center" wrapText="1"/>
    </xf>
    <xf numFmtId="0" fontId="28" fillId="0" borderId="0" xfId="0" applyFont="1" applyAlignment="1">
      <alignment horizontal="center" vertical="center"/>
    </xf>
    <xf numFmtId="0" fontId="31" fillId="0" borderId="64" xfId="0" applyFont="1" applyBorder="1" applyAlignment="1">
      <alignment horizontal="left" vertical="center"/>
    </xf>
    <xf numFmtId="4" fontId="0" fillId="0" borderId="0" xfId="0" applyNumberFormat="1" applyFill="1" applyProtection="1">
      <protection locked="0"/>
    </xf>
    <xf numFmtId="0" fontId="57" fillId="17" borderId="0" xfId="0" applyFont="1" applyFill="1"/>
    <xf numFmtId="4" fontId="57" fillId="17" borderId="0" xfId="0" applyNumberFormat="1" applyFont="1" applyFill="1"/>
    <xf numFmtId="4" fontId="57" fillId="17" borderId="0" xfId="0" applyNumberFormat="1" applyFont="1" applyFill="1" applyProtection="1">
      <protection locked="0"/>
    </xf>
  </cellXfs>
  <cellStyles count="9">
    <cellStyle name="Excel Built-in Bad" xfId="4" xr:uid="{00000000-0005-0000-0000-000000000000}"/>
    <cellStyle name="Excel Built-in Normal" xfId="2" xr:uid="{00000000-0005-0000-0000-000001000000}"/>
    <cellStyle name="Normální" xfId="0" builtinId="0"/>
    <cellStyle name="normální 2" xfId="1" xr:uid="{00000000-0005-0000-0000-000003000000}"/>
    <cellStyle name="Normální 3" xfId="5" xr:uid="{00000000-0005-0000-0000-000004000000}"/>
    <cellStyle name="Normální 4" xfId="6" xr:uid="{00000000-0005-0000-0000-000005000000}"/>
    <cellStyle name="Normální 5" xfId="7" xr:uid="{00000000-0005-0000-0000-000006000000}"/>
    <cellStyle name="Normální 6" xfId="8" xr:uid="{00000000-0005-0000-0000-000007000000}"/>
    <cellStyle name="normální_POL.XLS" xfId="3" xr:uid="{00000000-0005-0000-0000-000008000000}"/>
  </cellStyles>
  <dxfs count="6">
    <dxf>
      <font>
        <color theme="0"/>
      </font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88"/>
  <sheetViews>
    <sheetView showGridLines="0" topLeftCell="B14" zoomScaleNormal="100" zoomScaleSheetLayoutView="75" workbookViewId="0">
      <selection activeCell="B84" sqref="B84:J8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8" width="13" customWidth="1"/>
    <col min="9" max="9" width="16.33203125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490" t="s">
        <v>4</v>
      </c>
      <c r="C1" s="491"/>
      <c r="D1" s="491"/>
      <c r="E1" s="491"/>
      <c r="F1" s="491"/>
      <c r="G1" s="491"/>
      <c r="H1" s="491"/>
      <c r="I1" s="491"/>
      <c r="J1" s="492"/>
    </row>
    <row r="2" spans="1:15" ht="36" customHeight="1" x14ac:dyDescent="0.25">
      <c r="A2" s="2"/>
      <c r="B2" s="74" t="s">
        <v>24</v>
      </c>
      <c r="C2" s="75"/>
      <c r="D2" s="76" t="s">
        <v>41</v>
      </c>
      <c r="E2" s="496" t="s">
        <v>42</v>
      </c>
      <c r="F2" s="497"/>
      <c r="G2" s="497"/>
      <c r="H2" s="497"/>
      <c r="I2" s="497"/>
      <c r="J2" s="498"/>
      <c r="O2" s="1"/>
    </row>
    <row r="3" spans="1:15" ht="27" hidden="1" customHeight="1" x14ac:dyDescent="0.25">
      <c r="A3" s="2"/>
      <c r="B3" s="77"/>
      <c r="C3" s="75"/>
      <c r="D3" s="78"/>
      <c r="E3" s="499"/>
      <c r="F3" s="500"/>
      <c r="G3" s="500"/>
      <c r="H3" s="500"/>
      <c r="I3" s="500"/>
      <c r="J3" s="501"/>
    </row>
    <row r="4" spans="1:15" ht="23.25" customHeight="1" x14ac:dyDescent="0.25">
      <c r="A4" s="2"/>
      <c r="B4" s="79"/>
      <c r="C4" s="80"/>
      <c r="D4" s="81"/>
      <c r="E4" s="476"/>
      <c r="F4" s="476"/>
      <c r="G4" s="476"/>
      <c r="H4" s="476"/>
      <c r="I4" s="476"/>
      <c r="J4" s="477"/>
    </row>
    <row r="5" spans="1:15" ht="24" customHeight="1" x14ac:dyDescent="0.25">
      <c r="A5" s="2"/>
      <c r="B5" s="31" t="s">
        <v>23</v>
      </c>
      <c r="D5" s="480"/>
      <c r="E5" s="481"/>
      <c r="F5" s="481"/>
      <c r="G5" s="481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482"/>
      <c r="E6" s="483"/>
      <c r="F6" s="483"/>
      <c r="G6" s="483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484"/>
      <c r="F7" s="485"/>
      <c r="G7" s="485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503"/>
      <c r="E11" s="503"/>
      <c r="F11" s="503"/>
      <c r="G11" s="503"/>
      <c r="H11" s="18" t="s">
        <v>40</v>
      </c>
      <c r="I11" s="82"/>
      <c r="J11" s="8"/>
    </row>
    <row r="12" spans="1:15" ht="15.75" customHeight="1" x14ac:dyDescent="0.25">
      <c r="A12" s="2"/>
      <c r="B12" s="28"/>
      <c r="C12" s="55"/>
      <c r="D12" s="475"/>
      <c r="E12" s="475"/>
      <c r="F12" s="475"/>
      <c r="G12" s="475"/>
      <c r="H12" s="18" t="s">
        <v>36</v>
      </c>
      <c r="I12" s="82"/>
      <c r="J12" s="8"/>
    </row>
    <row r="13" spans="1:15" ht="15.75" customHeight="1" x14ac:dyDescent="0.25">
      <c r="A13" s="2"/>
      <c r="B13" s="29"/>
      <c r="C13" s="56"/>
      <c r="D13" s="83"/>
      <c r="E13" s="478"/>
      <c r="F13" s="479"/>
      <c r="G13" s="479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486" t="s">
        <v>941</v>
      </c>
      <c r="E14" s="487"/>
      <c r="F14" s="487"/>
      <c r="G14" s="487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4"/>
      <c r="E15" s="502"/>
      <c r="F15" s="502"/>
      <c r="G15" s="504"/>
      <c r="H15" s="504"/>
      <c r="I15" s="504" t="s">
        <v>31</v>
      </c>
      <c r="J15" s="505"/>
    </row>
    <row r="16" spans="1:15" ht="23.25" customHeight="1" x14ac:dyDescent="0.25">
      <c r="A16" s="136" t="s">
        <v>26</v>
      </c>
      <c r="B16" s="38" t="s">
        <v>26</v>
      </c>
      <c r="C16" s="60"/>
      <c r="D16" s="61"/>
      <c r="E16" s="465"/>
      <c r="F16" s="466"/>
      <c r="G16" s="465"/>
      <c r="H16" s="466"/>
      <c r="I16" s="225">
        <f>SUMIF(F56:F80,A16,I56:I80)+SUMIF(F56:F80,"PSU",I56:I80)</f>
        <v>0</v>
      </c>
      <c r="J16" s="226"/>
    </row>
    <row r="17" spans="1:10" ht="23.25" customHeight="1" x14ac:dyDescent="0.25">
      <c r="A17" s="136" t="s">
        <v>27</v>
      </c>
      <c r="B17" s="38" t="s">
        <v>27</v>
      </c>
      <c r="C17" s="60"/>
      <c r="D17" s="61"/>
      <c r="E17" s="465"/>
      <c r="F17" s="466"/>
      <c r="G17" s="465"/>
      <c r="H17" s="466"/>
      <c r="I17" s="225">
        <f>SUMIF(F56:F80,A17,I56:I80)</f>
        <v>0</v>
      </c>
      <c r="J17" s="226"/>
    </row>
    <row r="18" spans="1:10" ht="23.25" customHeight="1" x14ac:dyDescent="0.25">
      <c r="A18" s="136" t="s">
        <v>28</v>
      </c>
      <c r="B18" s="38" t="s">
        <v>28</v>
      </c>
      <c r="C18" s="60"/>
      <c r="D18" s="61"/>
      <c r="E18" s="465"/>
      <c r="F18" s="466"/>
      <c r="G18" s="465"/>
      <c r="H18" s="466"/>
      <c r="I18" s="225">
        <f>SUMIF(F56:F80,A18,I56:I80)</f>
        <v>0</v>
      </c>
      <c r="J18" s="226"/>
    </row>
    <row r="19" spans="1:10" ht="23.25" customHeight="1" x14ac:dyDescent="0.25">
      <c r="A19" s="136" t="s">
        <v>111</v>
      </c>
      <c r="B19" s="38" t="s">
        <v>29</v>
      </c>
      <c r="C19" s="60"/>
      <c r="D19" s="61"/>
      <c r="E19" s="465"/>
      <c r="F19" s="466"/>
      <c r="G19" s="465"/>
      <c r="H19" s="466"/>
      <c r="I19" s="225">
        <f>SUMIF(F56:F80,A19,I56:I80)</f>
        <v>0</v>
      </c>
      <c r="J19" s="226"/>
    </row>
    <row r="20" spans="1:10" ht="23.25" customHeight="1" x14ac:dyDescent="0.25">
      <c r="A20" s="136" t="s">
        <v>112</v>
      </c>
      <c r="B20" s="38" t="s">
        <v>30</v>
      </c>
      <c r="C20" s="60"/>
      <c r="D20" s="61"/>
      <c r="E20" s="465"/>
      <c r="F20" s="466"/>
      <c r="G20" s="465"/>
      <c r="H20" s="466"/>
      <c r="I20" s="225">
        <f>SUMIF(F56:F80,A20,I56:I80)</f>
        <v>0</v>
      </c>
      <c r="J20" s="226"/>
    </row>
    <row r="21" spans="1:10" ht="23.25" customHeight="1" x14ac:dyDescent="0.25">
      <c r="A21" s="2"/>
      <c r="B21" s="48" t="s">
        <v>31</v>
      </c>
      <c r="C21" s="62"/>
      <c r="D21" s="63"/>
      <c r="E21" s="473"/>
      <c r="F21" s="474"/>
      <c r="G21" s="473"/>
      <c r="H21" s="474"/>
      <c r="I21" s="224">
        <f>SUM(I16:J20)</f>
        <v>0</v>
      </c>
      <c r="J21" s="227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463">
        <f>ZakladDPHSniVypocet</f>
        <v>0</v>
      </c>
      <c r="H23" s="464"/>
      <c r="I23" s="464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461">
        <f>A23</f>
        <v>0</v>
      </c>
      <c r="H24" s="462"/>
      <c r="I24" s="462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463">
        <f>ZakladDPHZaklVypocet</f>
        <v>0</v>
      </c>
      <c r="H25" s="464"/>
      <c r="I25" s="464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493">
        <f>A25</f>
        <v>0</v>
      </c>
      <c r="H26" s="494"/>
      <c r="I26" s="494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495">
        <f>CenaCelkem-(ZakladDPHSni+DPHSni+ZakladDPHZakl+DPHZakl)</f>
        <v>0</v>
      </c>
      <c r="H27" s="495"/>
      <c r="I27" s="495"/>
      <c r="J27" s="41" t="str">
        <f t="shared" si="0"/>
        <v>CZK</v>
      </c>
    </row>
    <row r="28" spans="1:10" ht="27.75" hidden="1" customHeight="1" thickBot="1" x14ac:dyDescent="0.3">
      <c r="A28" s="2"/>
      <c r="B28" s="109" t="s">
        <v>25</v>
      </c>
      <c r="C28" s="110"/>
      <c r="D28" s="110"/>
      <c r="E28" s="111"/>
      <c r="F28" s="112"/>
      <c r="G28" s="467">
        <f>ZakladDPHSniVypocet+ZakladDPHZaklVypocet</f>
        <v>0</v>
      </c>
      <c r="H28" s="468"/>
      <c r="I28" s="468"/>
      <c r="J28" s="113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09" t="s">
        <v>37</v>
      </c>
      <c r="C29" s="114"/>
      <c r="D29" s="114"/>
      <c r="E29" s="114"/>
      <c r="F29" s="115"/>
      <c r="G29" s="467">
        <f>A27</f>
        <v>0</v>
      </c>
      <c r="H29" s="467"/>
      <c r="I29" s="467"/>
      <c r="J29" s="116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469"/>
      <c r="E34" s="470"/>
      <c r="G34" s="471"/>
      <c r="H34" s="472"/>
      <c r="I34" s="472"/>
      <c r="J34" s="25"/>
    </row>
    <row r="35" spans="1:10" ht="12.75" customHeight="1" x14ac:dyDescent="0.25">
      <c r="A35" s="2"/>
      <c r="B35" s="2"/>
      <c r="D35" s="460" t="s">
        <v>2</v>
      </c>
      <c r="E35" s="460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customHeight="1" x14ac:dyDescent="0.25">
      <c r="B37" s="86" t="s">
        <v>17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5">
      <c r="A38" s="85" t="s">
        <v>39</v>
      </c>
      <c r="B38" s="90" t="s">
        <v>18</v>
      </c>
      <c r="C38" s="91" t="s">
        <v>6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19</v>
      </c>
      <c r="I38" s="93" t="s">
        <v>1</v>
      </c>
      <c r="J38" s="94" t="s">
        <v>0</v>
      </c>
    </row>
    <row r="39" spans="1:10" ht="25.5" hidden="1" customHeight="1" x14ac:dyDescent="0.25">
      <c r="A39" s="85">
        <v>1</v>
      </c>
      <c r="B39" s="95" t="s">
        <v>43</v>
      </c>
      <c r="C39" s="458"/>
      <c r="D39" s="458"/>
      <c r="E39" s="458"/>
      <c r="F39" s="96">
        <f>'SO 11 D 1.4 Pol'!AE14+'SO 11 D 1.5 Pol'!AE27+'SO 11 D1.1 + D1.2 Pol'!AE351</f>
        <v>0</v>
      </c>
      <c r="G39" s="97">
        <f>'SO 11 D 1.4 Pol'!AF14+'SO 11 D 1.5 Pol'!AF27+'SO 11 D1.1 + D1.2 Pol'!AF351</f>
        <v>0</v>
      </c>
      <c r="H39" s="98">
        <f>(F39*SazbaDPH1/100)+(G39*SazbaDPH2/100)</f>
        <v>0</v>
      </c>
      <c r="I39" s="98">
        <f>F39+G39+H39</f>
        <v>0</v>
      </c>
      <c r="J39" s="99" t="str">
        <f>IF(_xlfn.SINGLE(CenaCelkemVypocet)=0,"",I39/_xlfn.SINGLE(CenaCelkemVypocet)*100)</f>
        <v/>
      </c>
    </row>
    <row r="40" spans="1:10" ht="25.5" customHeight="1" x14ac:dyDescent="0.25">
      <c r="A40" s="85">
        <v>2</v>
      </c>
      <c r="B40" s="100" t="s">
        <v>41</v>
      </c>
      <c r="C40" s="459" t="s">
        <v>44</v>
      </c>
      <c r="D40" s="459"/>
      <c r="E40" s="459"/>
      <c r="F40" s="101">
        <f>'SO 11 D 1.4 Pol'!AE14+'SO 11 D 1.5 Pol'!AE27+'SO 11 D1.1 + D1.2 Pol'!AE351</f>
        <v>0</v>
      </c>
      <c r="G40" s="102">
        <f>ZakladDPHZaklVypocet</f>
        <v>0</v>
      </c>
      <c r="H40" s="102">
        <f>(F40*SazbaDPH1/100)+(G40*SazbaDPH2/100)</f>
        <v>0</v>
      </c>
      <c r="I40" s="102">
        <f>F40+G40+H40</f>
        <v>0</v>
      </c>
      <c r="J40" s="103" t="str">
        <f>IF(_xlfn.SINGLE(CenaCelkemVypocet)=0,"",I40/_xlfn.SINGLE(CenaCelkemVypocet)*100)</f>
        <v/>
      </c>
    </row>
    <row r="41" spans="1:10" ht="25.5" customHeight="1" x14ac:dyDescent="0.25">
      <c r="A41" s="85">
        <v>3</v>
      </c>
      <c r="B41" s="104" t="s">
        <v>45</v>
      </c>
      <c r="C41" s="458" t="s">
        <v>46</v>
      </c>
      <c r="D41" s="458"/>
      <c r="E41" s="458"/>
      <c r="F41" s="105">
        <f>'SO 11 D 1.4 Pol'!AE14</f>
        <v>0</v>
      </c>
      <c r="G41" s="98">
        <f>'SO 11 D 1.4 Pol'!AF14</f>
        <v>0</v>
      </c>
      <c r="H41" s="98">
        <f>(F41*SazbaDPH1/100)+(G41*SazbaDPH2/100)</f>
        <v>0</v>
      </c>
      <c r="I41" s="98">
        <f>F41+G41+H41</f>
        <v>0</v>
      </c>
      <c r="J41" s="99" t="str">
        <f>IF(_xlfn.SINGLE(CenaCelkemVypocet)=0,"",I41/_xlfn.SINGLE(CenaCelkemVypocet)*100)</f>
        <v/>
      </c>
    </row>
    <row r="42" spans="1:10" ht="25.5" customHeight="1" x14ac:dyDescent="0.25">
      <c r="A42" s="85">
        <v>3</v>
      </c>
      <c r="B42" s="104" t="s">
        <v>47</v>
      </c>
      <c r="C42" s="458" t="s">
        <v>48</v>
      </c>
      <c r="D42" s="458"/>
      <c r="E42" s="458"/>
      <c r="F42" s="105">
        <f>'SO 11 D 1.5 Pol'!AE27</f>
        <v>0</v>
      </c>
      <c r="G42" s="98">
        <f>'SO 11 D 1.5 Pol'!AF27</f>
        <v>0</v>
      </c>
      <c r="H42" s="98">
        <f>(F42*SazbaDPH1/100)+(G42*SazbaDPH2/100)</f>
        <v>0</v>
      </c>
      <c r="I42" s="98">
        <f>F42+G42+H42</f>
        <v>0</v>
      </c>
      <c r="J42" s="99" t="str">
        <f>IF(_xlfn.SINGLE(CenaCelkemVypocet)=0,"",I42/_xlfn.SINGLE(CenaCelkemVypocet)*100)</f>
        <v/>
      </c>
    </row>
    <row r="43" spans="1:10" ht="25.5" customHeight="1" x14ac:dyDescent="0.25">
      <c r="A43" s="85">
        <v>3</v>
      </c>
      <c r="B43" s="104" t="s">
        <v>49</v>
      </c>
      <c r="C43" s="458" t="s">
        <v>50</v>
      </c>
      <c r="D43" s="458"/>
      <c r="E43" s="458"/>
      <c r="F43" s="105">
        <f>'SO 11 D1.1 + D1.2 Pol'!AE351</f>
        <v>0</v>
      </c>
      <c r="G43" s="98">
        <f>'SO 11 D1.1 + D1.2 Pol'!G351</f>
        <v>0</v>
      </c>
      <c r="H43" s="98">
        <f>(F43*SazbaDPH1/100)+(G43*SazbaDPH2/100)</f>
        <v>0</v>
      </c>
      <c r="I43" s="98">
        <f>F43+G43+H43</f>
        <v>0</v>
      </c>
      <c r="J43" s="99" t="str">
        <f>IF(_xlfn.SINGLE(CenaCelkemVypocet)=0,"",I43/_xlfn.SINGLE(CenaCelkemVypocet)*100)</f>
        <v/>
      </c>
    </row>
    <row r="44" spans="1:10" ht="25.5" customHeight="1" x14ac:dyDescent="0.25">
      <c r="A44" s="85"/>
      <c r="B44" s="455" t="s">
        <v>51</v>
      </c>
      <c r="C44" s="456"/>
      <c r="D44" s="456"/>
      <c r="E44" s="457"/>
      <c r="F44" s="106">
        <f>SUMIF(A39:A43,"=1",F39:F43)</f>
        <v>0</v>
      </c>
      <c r="G44" s="107">
        <f>SUM(G41:G43)</f>
        <v>0</v>
      </c>
      <c r="H44" s="107">
        <f t="shared" ref="H44:I44" si="1">SUM(H41:H43)</f>
        <v>0</v>
      </c>
      <c r="I44" s="107">
        <f t="shared" si="1"/>
        <v>0</v>
      </c>
      <c r="J44" s="108">
        <f>SUMIF(A39:A43,"=1",J39:J43)</f>
        <v>0</v>
      </c>
    </row>
    <row r="46" spans="1:10" x14ac:dyDescent="0.25">
      <c r="A46" t="s">
        <v>53</v>
      </c>
      <c r="B46" t="s">
        <v>54</v>
      </c>
    </row>
    <row r="47" spans="1:10" x14ac:dyDescent="0.25">
      <c r="A47" t="s">
        <v>55</v>
      </c>
      <c r="B47" t="s">
        <v>56</v>
      </c>
    </row>
    <row r="48" spans="1:10" x14ac:dyDescent="0.25">
      <c r="A48" t="s">
        <v>57</v>
      </c>
      <c r="B48" t="s">
        <v>58</v>
      </c>
    </row>
    <row r="49" spans="1:10" x14ac:dyDescent="0.25">
      <c r="A49" t="s">
        <v>57</v>
      </c>
      <c r="B49" t="s">
        <v>59</v>
      </c>
    </row>
    <row r="50" spans="1:10" x14ac:dyDescent="0.25">
      <c r="A50" t="s">
        <v>57</v>
      </c>
      <c r="B50" t="s">
        <v>60</v>
      </c>
    </row>
    <row r="53" spans="1:10" ht="15.6" x14ac:dyDescent="0.3">
      <c r="B53" s="117" t="s">
        <v>61</v>
      </c>
    </row>
    <row r="55" spans="1:10" ht="25.5" customHeight="1" x14ac:dyDescent="0.25">
      <c r="A55" s="119"/>
      <c r="B55" s="122" t="s">
        <v>18</v>
      </c>
      <c r="C55" s="122" t="s">
        <v>6</v>
      </c>
      <c r="D55" s="123"/>
      <c r="E55" s="123"/>
      <c r="F55" s="124" t="s">
        <v>62</v>
      </c>
      <c r="G55" s="124"/>
      <c r="H55" s="124"/>
      <c r="I55" s="124" t="s">
        <v>31</v>
      </c>
      <c r="J55" s="124" t="s">
        <v>0</v>
      </c>
    </row>
    <row r="56" spans="1:10" ht="36.75" customHeight="1" x14ac:dyDescent="0.25">
      <c r="A56" s="120"/>
      <c r="B56" s="125" t="s">
        <v>63</v>
      </c>
      <c r="C56" s="453" t="s">
        <v>64</v>
      </c>
      <c r="D56" s="454"/>
      <c r="E56" s="454"/>
      <c r="F56" s="134" t="s">
        <v>26</v>
      </c>
      <c r="G56" s="126"/>
      <c r="H56" s="126"/>
      <c r="I56" s="126">
        <f>'SO 11 D1.1 + D1.2 Pol'!G8</f>
        <v>0</v>
      </c>
      <c r="J56" s="131" t="str">
        <f>IF(I81=0,"",I56/I81*100)</f>
        <v/>
      </c>
    </row>
    <row r="57" spans="1:10" ht="36.75" customHeight="1" x14ac:dyDescent="0.25">
      <c r="A57" s="120"/>
      <c r="B57" s="125" t="s">
        <v>65</v>
      </c>
      <c r="C57" s="453" t="s">
        <v>66</v>
      </c>
      <c r="D57" s="454"/>
      <c r="E57" s="454"/>
      <c r="F57" s="134" t="s">
        <v>26</v>
      </c>
      <c r="G57" s="126"/>
      <c r="H57" s="126"/>
      <c r="I57" s="126">
        <f>'SO 11 D1.1 + D1.2 Pol'!G24</f>
        <v>0</v>
      </c>
      <c r="J57" s="131" t="str">
        <f>IF(I81=0,"",I57/I81*100)</f>
        <v/>
      </c>
    </row>
    <row r="58" spans="1:10" ht="36.75" customHeight="1" x14ac:dyDescent="0.25">
      <c r="A58" s="120"/>
      <c r="B58" s="125" t="s">
        <v>67</v>
      </c>
      <c r="C58" s="453" t="s">
        <v>68</v>
      </c>
      <c r="D58" s="454"/>
      <c r="E58" s="454"/>
      <c r="F58" s="134" t="s">
        <v>26</v>
      </c>
      <c r="G58" s="126"/>
      <c r="H58" s="126"/>
      <c r="I58" s="126">
        <f>'SO 11 D1.1 + D1.2 Pol'!G40</f>
        <v>0</v>
      </c>
      <c r="J58" s="131" t="str">
        <f>IF(I81=0,"",I58/I81*100)</f>
        <v/>
      </c>
    </row>
    <row r="59" spans="1:10" ht="36.75" customHeight="1" x14ac:dyDescent="0.25">
      <c r="A59" s="120"/>
      <c r="B59" s="125" t="s">
        <v>69</v>
      </c>
      <c r="C59" s="453" t="s">
        <v>70</v>
      </c>
      <c r="D59" s="454"/>
      <c r="E59" s="454"/>
      <c r="F59" s="134" t="s">
        <v>26</v>
      </c>
      <c r="G59" s="126"/>
      <c r="H59" s="126"/>
      <c r="I59" s="126">
        <f>'SO 11 D1.1 + D1.2 Pol'!G66</f>
        <v>0</v>
      </c>
      <c r="J59" s="131" t="str">
        <f>IF(I81=0,"",I59/I81*100)</f>
        <v/>
      </c>
    </row>
    <row r="60" spans="1:10" ht="36.75" customHeight="1" x14ac:dyDescent="0.25">
      <c r="A60" s="120"/>
      <c r="B60" s="125" t="s">
        <v>71</v>
      </c>
      <c r="C60" s="453" t="s">
        <v>72</v>
      </c>
      <c r="D60" s="454"/>
      <c r="E60" s="454"/>
      <c r="F60" s="134" t="s">
        <v>26</v>
      </c>
      <c r="G60" s="126"/>
      <c r="H60" s="126"/>
      <c r="I60" s="126">
        <f>'SO 11 D1.1 + D1.2 Pol'!G85</f>
        <v>0</v>
      </c>
      <c r="J60" s="131" t="str">
        <f>IF(I81=0,"",I60/I81*100)</f>
        <v/>
      </c>
    </row>
    <row r="61" spans="1:10" ht="36.75" customHeight="1" x14ac:dyDescent="0.25">
      <c r="A61" s="120"/>
      <c r="B61" s="125" t="s">
        <v>73</v>
      </c>
      <c r="C61" s="453" t="s">
        <v>74</v>
      </c>
      <c r="D61" s="454"/>
      <c r="E61" s="454"/>
      <c r="F61" s="134" t="s">
        <v>26</v>
      </c>
      <c r="G61" s="126"/>
      <c r="H61" s="126"/>
      <c r="I61" s="126">
        <f>'SO 11 D1.1 + D1.2 Pol'!G88</f>
        <v>0</v>
      </c>
      <c r="J61" s="131" t="str">
        <f>IF(I81=0,"",I61/I81*100)</f>
        <v/>
      </c>
    </row>
    <row r="62" spans="1:10" ht="36.75" customHeight="1" x14ac:dyDescent="0.25">
      <c r="A62" s="120"/>
      <c r="B62" s="125" t="s">
        <v>75</v>
      </c>
      <c r="C62" s="453" t="s">
        <v>76</v>
      </c>
      <c r="D62" s="454"/>
      <c r="E62" s="454"/>
      <c r="F62" s="134" t="s">
        <v>26</v>
      </c>
      <c r="G62" s="126"/>
      <c r="H62" s="126"/>
      <c r="I62" s="126">
        <f>'SO 11 D1.1 + D1.2 Pol'!G96</f>
        <v>0</v>
      </c>
      <c r="J62" s="131" t="str">
        <f>IF(I81=0,"",I62/I81*100)</f>
        <v/>
      </c>
    </row>
    <row r="63" spans="1:10" ht="36.75" customHeight="1" x14ac:dyDescent="0.25">
      <c r="A63" s="120"/>
      <c r="B63" s="125" t="s">
        <v>77</v>
      </c>
      <c r="C63" s="453" t="s">
        <v>78</v>
      </c>
      <c r="D63" s="454"/>
      <c r="E63" s="454"/>
      <c r="F63" s="134" t="s">
        <v>26</v>
      </c>
      <c r="G63" s="126"/>
      <c r="H63" s="126"/>
      <c r="I63" s="126">
        <f>'SO 11 D1.1 + D1.2 Pol'!G104</f>
        <v>0</v>
      </c>
      <c r="J63" s="131" t="str">
        <f>IF(I81=0,"",I63/I81*100)</f>
        <v/>
      </c>
    </row>
    <row r="64" spans="1:10" ht="36.75" customHeight="1" x14ac:dyDescent="0.25">
      <c r="A64" s="120"/>
      <c r="B64" s="125" t="s">
        <v>79</v>
      </c>
      <c r="C64" s="453" t="s">
        <v>80</v>
      </c>
      <c r="D64" s="454"/>
      <c r="E64" s="454"/>
      <c r="F64" s="134" t="s">
        <v>26</v>
      </c>
      <c r="G64" s="126"/>
      <c r="H64" s="126"/>
      <c r="I64" s="126">
        <f>'SO 11 D1.1 + D1.2 Pol'!G111</f>
        <v>0</v>
      </c>
      <c r="J64" s="131" t="str">
        <f>IF(I81=0,"",I64/I81*100)</f>
        <v/>
      </c>
    </row>
    <row r="65" spans="1:10" ht="36.75" customHeight="1" x14ac:dyDescent="0.25">
      <c r="A65" s="120"/>
      <c r="B65" s="125" t="s">
        <v>81</v>
      </c>
      <c r="C65" s="453" t="s">
        <v>82</v>
      </c>
      <c r="D65" s="454"/>
      <c r="E65" s="454"/>
      <c r="F65" s="134" t="s">
        <v>26</v>
      </c>
      <c r="G65" s="126"/>
      <c r="H65" s="126"/>
      <c r="I65" s="126">
        <f>'SO 11 D1.1 + D1.2 Pol'!G117</f>
        <v>0</v>
      </c>
      <c r="J65" s="131" t="str">
        <f>IF(I81=0,"",I65/I81*100)</f>
        <v/>
      </c>
    </row>
    <row r="66" spans="1:10" ht="36.75" customHeight="1" x14ac:dyDescent="0.25">
      <c r="A66" s="120"/>
      <c r="B66" s="125" t="s">
        <v>83</v>
      </c>
      <c r="C66" s="453" t="s">
        <v>84</v>
      </c>
      <c r="D66" s="454"/>
      <c r="E66" s="454"/>
      <c r="F66" s="134" t="s">
        <v>26</v>
      </c>
      <c r="G66" s="126"/>
      <c r="H66" s="126"/>
      <c r="I66" s="126">
        <f>'SO 11 D1.1 + D1.2 Pol'!G120</f>
        <v>0</v>
      </c>
      <c r="J66" s="131" t="str">
        <f>IF(I81=0,"",I66/I81*100)</f>
        <v/>
      </c>
    </row>
    <row r="67" spans="1:10" ht="36.75" customHeight="1" x14ac:dyDescent="0.25">
      <c r="A67" s="120"/>
      <c r="B67" s="125" t="s">
        <v>85</v>
      </c>
      <c r="C67" s="453" t="s">
        <v>86</v>
      </c>
      <c r="D67" s="454"/>
      <c r="E67" s="454"/>
      <c r="F67" s="134" t="s">
        <v>27</v>
      </c>
      <c r="G67" s="126"/>
      <c r="H67" s="126"/>
      <c r="I67" s="126">
        <f>'SO 11 D1.1 + D1.2 Pol'!G161</f>
        <v>0</v>
      </c>
      <c r="J67" s="131" t="str">
        <f>IF(I81=0,"",I67/I81*100)</f>
        <v/>
      </c>
    </row>
    <row r="68" spans="1:10" ht="36.75" customHeight="1" x14ac:dyDescent="0.25">
      <c r="A68" s="120"/>
      <c r="B68" s="125" t="s">
        <v>87</v>
      </c>
      <c r="C68" s="453" t="s">
        <v>88</v>
      </c>
      <c r="D68" s="454"/>
      <c r="E68" s="454"/>
      <c r="F68" s="134" t="s">
        <v>27</v>
      </c>
      <c r="G68" s="126"/>
      <c r="H68" s="126"/>
      <c r="I68" s="126">
        <f>'SO 11 D1.1 + D1.2 Pol'!G197</f>
        <v>0</v>
      </c>
      <c r="J68" s="131" t="str">
        <f>IF(I81=0,"",I68/I81*100)</f>
        <v/>
      </c>
    </row>
    <row r="69" spans="1:10" ht="36.75" customHeight="1" x14ac:dyDescent="0.25">
      <c r="A69" s="120"/>
      <c r="B69" s="125" t="s">
        <v>89</v>
      </c>
      <c r="C69" s="453" t="s">
        <v>90</v>
      </c>
      <c r="D69" s="454"/>
      <c r="E69" s="454"/>
      <c r="F69" s="134" t="s">
        <v>27</v>
      </c>
      <c r="G69" s="126"/>
      <c r="H69" s="126"/>
      <c r="I69" s="126">
        <f>'SO 11 D1.1 + D1.2 Pol'!G209</f>
        <v>0</v>
      </c>
      <c r="J69" s="131" t="str">
        <f>IF(I81=0,"",I69/I81*100)</f>
        <v/>
      </c>
    </row>
    <row r="70" spans="1:10" ht="36.75" customHeight="1" x14ac:dyDescent="0.25">
      <c r="A70" s="120"/>
      <c r="B70" s="125" t="s">
        <v>91</v>
      </c>
      <c r="C70" s="453" t="s">
        <v>92</v>
      </c>
      <c r="D70" s="454"/>
      <c r="E70" s="454"/>
      <c r="F70" s="134" t="s">
        <v>27</v>
      </c>
      <c r="G70" s="126"/>
      <c r="H70" s="126"/>
      <c r="I70" s="126">
        <f>'SO 11 D1.1 + D1.2 Pol'!G222</f>
        <v>0</v>
      </c>
      <c r="J70" s="131" t="str">
        <f>IF(I81=0,"",I70/I81*100)</f>
        <v/>
      </c>
    </row>
    <row r="71" spans="1:10" ht="36.75" customHeight="1" x14ac:dyDescent="0.25">
      <c r="A71" s="120"/>
      <c r="B71" s="125" t="s">
        <v>93</v>
      </c>
      <c r="C71" s="453" t="s">
        <v>94</v>
      </c>
      <c r="D71" s="454"/>
      <c r="E71" s="454"/>
      <c r="F71" s="134" t="s">
        <v>27</v>
      </c>
      <c r="G71" s="126"/>
      <c r="H71" s="126"/>
      <c r="I71" s="126">
        <f>'SO 11 D1.1 + D1.2 Pol'!G228</f>
        <v>0</v>
      </c>
      <c r="J71" s="131" t="str">
        <f>IF(I81=0,"",I71/I81*100)</f>
        <v/>
      </c>
    </row>
    <row r="72" spans="1:10" ht="36.75" customHeight="1" x14ac:dyDescent="0.25">
      <c r="A72" s="120"/>
      <c r="B72" s="125" t="s">
        <v>95</v>
      </c>
      <c r="C72" s="453" t="s">
        <v>96</v>
      </c>
      <c r="D72" s="454"/>
      <c r="E72" s="454"/>
      <c r="F72" s="134" t="s">
        <v>27</v>
      </c>
      <c r="G72" s="126"/>
      <c r="H72" s="126"/>
      <c r="I72" s="126">
        <f>'SO 11 D1.1 + D1.2 Pol'!G236</f>
        <v>0</v>
      </c>
      <c r="J72" s="131" t="str">
        <f>IF(I81=0,"",I72/I81*100)</f>
        <v/>
      </c>
    </row>
    <row r="73" spans="1:10" ht="36.75" customHeight="1" x14ac:dyDescent="0.25">
      <c r="A73" s="120"/>
      <c r="B73" s="125" t="s">
        <v>97</v>
      </c>
      <c r="C73" s="453" t="s">
        <v>98</v>
      </c>
      <c r="D73" s="454"/>
      <c r="E73" s="454"/>
      <c r="F73" s="134" t="s">
        <v>27</v>
      </c>
      <c r="G73" s="126"/>
      <c r="H73" s="126"/>
      <c r="I73" s="126">
        <f>'SO 11 D1.1 + D1.2 Pol'!G250</f>
        <v>0</v>
      </c>
      <c r="J73" s="131" t="str">
        <f>IF(I81=0,"",I73/I81*100)</f>
        <v/>
      </c>
    </row>
    <row r="74" spans="1:10" ht="36.75" customHeight="1" x14ac:dyDescent="0.25">
      <c r="A74" s="120"/>
      <c r="B74" s="125" t="s">
        <v>99</v>
      </c>
      <c r="C74" s="453" t="s">
        <v>100</v>
      </c>
      <c r="D74" s="454"/>
      <c r="E74" s="454"/>
      <c r="F74" s="134" t="s">
        <v>27</v>
      </c>
      <c r="G74" s="126"/>
      <c r="H74" s="126"/>
      <c r="I74" s="126">
        <f>'SO 11 D1.1 + D1.2 Pol'!G292</f>
        <v>0</v>
      </c>
      <c r="J74" s="131" t="str">
        <f>IF(I81=0,"",I74/I81*100)</f>
        <v/>
      </c>
    </row>
    <row r="75" spans="1:10" ht="36.75" customHeight="1" x14ac:dyDescent="0.25">
      <c r="A75" s="120"/>
      <c r="B75" s="125" t="s">
        <v>101</v>
      </c>
      <c r="C75" s="453" t="s">
        <v>102</v>
      </c>
      <c r="D75" s="454"/>
      <c r="E75" s="454"/>
      <c r="F75" s="134" t="s">
        <v>27</v>
      </c>
      <c r="G75" s="126"/>
      <c r="H75" s="126"/>
      <c r="I75" s="126">
        <f>'SO 11 D1.1 + D1.2 Pol'!G303</f>
        <v>0</v>
      </c>
      <c r="J75" s="131" t="str">
        <f>IF(I81=0,"",I75/I81*100)</f>
        <v/>
      </c>
    </row>
    <row r="76" spans="1:10" ht="36.75" customHeight="1" x14ac:dyDescent="0.25">
      <c r="A76" s="120"/>
      <c r="B76" s="125" t="s">
        <v>103</v>
      </c>
      <c r="C76" s="453" t="s">
        <v>104</v>
      </c>
      <c r="D76" s="454"/>
      <c r="E76" s="454"/>
      <c r="F76" s="134" t="s">
        <v>27</v>
      </c>
      <c r="G76" s="126"/>
      <c r="H76" s="126"/>
      <c r="I76" s="126">
        <f>'SO 11 D1.1 + D1.2 Pol'!G321</f>
        <v>0</v>
      </c>
      <c r="J76" s="131" t="str">
        <f>IF(I81=0,"",I76/I81*100)</f>
        <v/>
      </c>
    </row>
    <row r="77" spans="1:10" ht="36.75" customHeight="1" x14ac:dyDescent="0.25">
      <c r="A77" s="120"/>
      <c r="B77" s="125" t="s">
        <v>105</v>
      </c>
      <c r="C77" s="453" t="s">
        <v>106</v>
      </c>
      <c r="D77" s="454"/>
      <c r="E77" s="454"/>
      <c r="F77" s="134" t="s">
        <v>27</v>
      </c>
      <c r="G77" s="126"/>
      <c r="H77" s="126"/>
      <c r="I77" s="126">
        <f>'SO 11 D1.1 + D1.2 Pol'!G332</f>
        <v>0</v>
      </c>
      <c r="J77" s="131" t="str">
        <f>IF(I81=0,"",I77/I81*100)</f>
        <v/>
      </c>
    </row>
    <row r="78" spans="1:10" ht="36.75" customHeight="1" x14ac:dyDescent="0.25">
      <c r="A78" s="120"/>
      <c r="B78" s="125" t="s">
        <v>107</v>
      </c>
      <c r="C78" s="453" t="s">
        <v>108</v>
      </c>
      <c r="D78" s="454"/>
      <c r="E78" s="454"/>
      <c r="F78" s="134" t="s">
        <v>27</v>
      </c>
      <c r="G78" s="126"/>
      <c r="H78" s="126"/>
      <c r="I78" s="126">
        <f>'SO 11 D1.1 + D1.2 Pol'!G347</f>
        <v>0</v>
      </c>
      <c r="J78" s="131" t="str">
        <f>IF(I81=0,"",I78/I81*100)</f>
        <v/>
      </c>
    </row>
    <row r="79" spans="1:10" ht="36.75" customHeight="1" x14ac:dyDescent="0.25">
      <c r="A79" s="120"/>
      <c r="B79" s="125" t="s">
        <v>109</v>
      </c>
      <c r="C79" s="453" t="s">
        <v>110</v>
      </c>
      <c r="D79" s="454"/>
      <c r="E79" s="454"/>
      <c r="F79" s="134" t="s">
        <v>27</v>
      </c>
      <c r="G79" s="126"/>
      <c r="H79" s="126"/>
      <c r="I79" s="126">
        <f>'SO 11 D 1.5 Pol'!G8</f>
        <v>0</v>
      </c>
      <c r="J79" s="131" t="str">
        <f>IF(I81=0,"",I79/I81*100)</f>
        <v/>
      </c>
    </row>
    <row r="80" spans="1:10" ht="36.75" customHeight="1" x14ac:dyDescent="0.25">
      <c r="A80" s="120"/>
      <c r="B80" s="125" t="s">
        <v>45</v>
      </c>
      <c r="C80" s="453" t="s">
        <v>46</v>
      </c>
      <c r="D80" s="454"/>
      <c r="E80" s="454"/>
      <c r="F80" s="134" t="s">
        <v>27</v>
      </c>
      <c r="G80" s="126"/>
      <c r="H80" s="126"/>
      <c r="I80" s="126">
        <f>'SO 11 D 1.4 Pol'!G8</f>
        <v>0</v>
      </c>
      <c r="J80" s="131" t="str">
        <f>IF(I81=0,"",I80/I81*100)</f>
        <v/>
      </c>
    </row>
    <row r="81" spans="1:10" ht="25.5" customHeight="1" x14ac:dyDescent="0.25">
      <c r="A81" s="121"/>
      <c r="B81" s="127" t="s">
        <v>1</v>
      </c>
      <c r="C81" s="128"/>
      <c r="D81" s="129"/>
      <c r="E81" s="129"/>
      <c r="F81" s="135"/>
      <c r="G81" s="130"/>
      <c r="H81" s="130"/>
      <c r="I81" s="130">
        <f>SUM(I56:I80)</f>
        <v>0</v>
      </c>
      <c r="J81" s="132">
        <f>SUM(J56:J80)</f>
        <v>0</v>
      </c>
    </row>
    <row r="82" spans="1:10" x14ac:dyDescent="0.25">
      <c r="F82" s="84"/>
      <c r="G82" s="84"/>
      <c r="H82" s="84"/>
      <c r="I82" s="84"/>
      <c r="J82" s="133"/>
    </row>
    <row r="83" spans="1:10" x14ac:dyDescent="0.25">
      <c r="F83" s="84"/>
      <c r="G83" s="84"/>
      <c r="H83" s="84"/>
      <c r="I83" s="84"/>
      <c r="J83" s="133"/>
    </row>
    <row r="84" spans="1:10" x14ac:dyDescent="0.25">
      <c r="B84" s="250" t="s">
        <v>1103</v>
      </c>
      <c r="C84" s="251"/>
      <c r="D84" s="252"/>
      <c r="E84" s="253"/>
      <c r="F84" s="250"/>
      <c r="G84" s="254"/>
      <c r="H84" s="254"/>
      <c r="I84" s="254"/>
      <c r="J84" s="255"/>
    </row>
    <row r="85" spans="1:10" x14ac:dyDescent="0.25">
      <c r="B85" s="488" t="s">
        <v>1106</v>
      </c>
      <c r="C85" s="488"/>
      <c r="D85" s="488"/>
      <c r="E85" s="488"/>
      <c r="F85" s="488"/>
      <c r="G85" s="488"/>
      <c r="H85" s="488"/>
      <c r="I85" s="488"/>
      <c r="J85" s="488"/>
    </row>
    <row r="86" spans="1:10" ht="13.8" x14ac:dyDescent="0.3">
      <c r="B86" s="489" t="s">
        <v>1107</v>
      </c>
      <c r="C86" s="489"/>
      <c r="D86" s="489"/>
      <c r="E86" s="489"/>
      <c r="F86" s="489"/>
      <c r="G86" s="489"/>
      <c r="H86" s="489"/>
      <c r="I86" s="489"/>
      <c r="J86" s="489"/>
    </row>
    <row r="87" spans="1:10" ht="13.8" x14ac:dyDescent="0.3">
      <c r="B87" s="489" t="s">
        <v>1104</v>
      </c>
      <c r="C87" s="489"/>
      <c r="D87" s="489"/>
      <c r="E87" s="489"/>
      <c r="F87" s="489"/>
      <c r="G87" s="489"/>
      <c r="H87" s="489"/>
      <c r="I87" s="489"/>
      <c r="J87" s="489"/>
    </row>
    <row r="88" spans="1:10" ht="13.8" x14ac:dyDescent="0.3">
      <c r="B88" s="489" t="s">
        <v>1105</v>
      </c>
      <c r="C88" s="489"/>
      <c r="D88" s="489"/>
      <c r="E88" s="489"/>
      <c r="F88" s="489"/>
      <c r="G88" s="489"/>
      <c r="H88" s="489"/>
      <c r="I88" s="489"/>
      <c r="J88" s="489"/>
    </row>
  </sheetData>
  <sheetProtection algorithmName="SHA-512" hashValue="/8WsvcFqj+kUs//gcz9uaJ0CPlifsBkmkEKIQH/32xRam1yS8ovH574DRVXWVK0qgG0/HInrYcglFDmYMi0bJA==" saltValue="Hs+pQaVA0OfvjC/hodfzl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B85:J85"/>
    <mergeCell ref="B86:J86"/>
    <mergeCell ref="B87:J87"/>
    <mergeCell ref="B88:J88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I15:J15"/>
    <mergeCell ref="E21:F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21:H21"/>
    <mergeCell ref="C39:E39"/>
    <mergeCell ref="C40:E40"/>
    <mergeCell ref="C41:E41"/>
    <mergeCell ref="C42:E42"/>
    <mergeCell ref="C43:E43"/>
    <mergeCell ref="B44:E44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80:E80"/>
    <mergeCell ref="C75:E75"/>
    <mergeCell ref="C76:E76"/>
    <mergeCell ref="C77:E77"/>
    <mergeCell ref="C78:E78"/>
    <mergeCell ref="C79:E79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506" t="s">
        <v>7</v>
      </c>
      <c r="B1" s="506"/>
      <c r="C1" s="507"/>
      <c r="D1" s="506"/>
      <c r="E1" s="506"/>
      <c r="F1" s="506"/>
      <c r="G1" s="506"/>
    </row>
    <row r="2" spans="1:7" ht="24.9" customHeight="1" x14ac:dyDescent="0.25">
      <c r="A2" s="50" t="s">
        <v>8</v>
      </c>
      <c r="B2" s="49"/>
      <c r="C2" s="508"/>
      <c r="D2" s="508"/>
      <c r="E2" s="508"/>
      <c r="F2" s="508"/>
      <c r="G2" s="509"/>
    </row>
    <row r="3" spans="1:7" ht="24.9" customHeight="1" x14ac:dyDescent="0.25">
      <c r="A3" s="50" t="s">
        <v>9</v>
      </c>
      <c r="B3" s="49"/>
      <c r="C3" s="508"/>
      <c r="D3" s="508"/>
      <c r="E3" s="508"/>
      <c r="F3" s="508"/>
      <c r="G3" s="509"/>
    </row>
    <row r="4" spans="1:7" ht="24.9" customHeight="1" x14ac:dyDescent="0.25">
      <c r="A4" s="50" t="s">
        <v>10</v>
      </c>
      <c r="B4" s="49"/>
      <c r="C4" s="508"/>
      <c r="D4" s="508"/>
      <c r="E4" s="508"/>
      <c r="F4" s="508"/>
      <c r="G4" s="509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76"/>
  <sheetViews>
    <sheetView zoomScaleNormal="100" workbookViewId="0">
      <pane ySplit="7" topLeftCell="A332" activePane="bottomLeft" state="frozen"/>
      <selection pane="bottomLeft" activeCell="C337" sqref="C337"/>
    </sheetView>
  </sheetViews>
  <sheetFormatPr defaultRowHeight="13.2" outlineLevelRow="3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13" width="0" hidden="1" customWidth="1"/>
    <col min="14" max="14" width="0.109375" hidden="1" customWidth="1"/>
    <col min="15" max="15" width="19.33203125" hidden="1" customWidth="1"/>
    <col min="16" max="16" width="13.33203125" hidden="1" customWidth="1"/>
    <col min="17" max="17" width="18.5546875" hidden="1" customWidth="1"/>
    <col min="18" max="18" width="19.109375" hidden="1" customWidth="1"/>
    <col min="19" max="19" width="17.33203125" hidden="1" customWidth="1"/>
    <col min="20" max="20" width="23.33203125" hidden="1" customWidth="1"/>
    <col min="21" max="21" width="18" hidden="1" customWidth="1"/>
    <col min="22" max="22" width="20.44140625" hidden="1" customWidth="1"/>
    <col min="23" max="23" width="22.5546875" hidden="1" customWidth="1"/>
    <col min="24" max="24" width="18.33203125" hidden="1" customWidth="1"/>
    <col min="25" max="25" width="18.88671875" hidden="1" customWidth="1"/>
    <col min="29" max="29" width="0" hidden="1" customWidth="1"/>
    <col min="31" max="41" width="0" hidden="1" customWidth="1"/>
    <col min="53" max="53" width="73.6640625" customWidth="1"/>
  </cols>
  <sheetData>
    <row r="1" spans="1:60" ht="15.75" customHeight="1" x14ac:dyDescent="0.3">
      <c r="A1" s="524" t="s">
        <v>7</v>
      </c>
      <c r="B1" s="524"/>
      <c r="C1" s="524"/>
      <c r="D1" s="524"/>
      <c r="E1" s="524"/>
      <c r="F1" s="524"/>
      <c r="G1" s="524"/>
      <c r="AG1" t="s">
        <v>113</v>
      </c>
    </row>
    <row r="2" spans="1:60" ht="25.2" customHeight="1" x14ac:dyDescent="0.25">
      <c r="A2" s="137" t="s">
        <v>8</v>
      </c>
      <c r="B2" s="49" t="s">
        <v>41</v>
      </c>
      <c r="C2" s="525" t="s">
        <v>42</v>
      </c>
      <c r="D2" s="526"/>
      <c r="E2" s="526"/>
      <c r="F2" s="526"/>
      <c r="G2" s="527"/>
      <c r="AG2" t="s">
        <v>114</v>
      </c>
    </row>
    <row r="3" spans="1:60" ht="25.2" customHeight="1" x14ac:dyDescent="0.25">
      <c r="A3" s="137" t="s">
        <v>9</v>
      </c>
      <c r="B3" s="49" t="s">
        <v>41</v>
      </c>
      <c r="C3" s="525" t="s">
        <v>44</v>
      </c>
      <c r="D3" s="526"/>
      <c r="E3" s="526"/>
      <c r="F3" s="526"/>
      <c r="G3" s="527"/>
      <c r="AC3" s="118" t="s">
        <v>114</v>
      </c>
      <c r="AG3" t="s">
        <v>115</v>
      </c>
    </row>
    <row r="4" spans="1:60" ht="25.2" customHeight="1" x14ac:dyDescent="0.25">
      <c r="A4" s="138" t="s">
        <v>10</v>
      </c>
      <c r="B4" s="139" t="s">
        <v>49</v>
      </c>
      <c r="C4" s="528" t="s">
        <v>50</v>
      </c>
      <c r="D4" s="529"/>
      <c r="E4" s="529"/>
      <c r="F4" s="529"/>
      <c r="G4" s="530"/>
      <c r="AG4" t="s">
        <v>116</v>
      </c>
    </row>
    <row r="5" spans="1:60" x14ac:dyDescent="0.25">
      <c r="D5" s="10"/>
    </row>
    <row r="6" spans="1:60" ht="27" customHeight="1" x14ac:dyDescent="0.25">
      <c r="A6" s="141" t="s">
        <v>117</v>
      </c>
      <c r="B6" s="143" t="s">
        <v>118</v>
      </c>
      <c r="C6" s="143" t="s">
        <v>119</v>
      </c>
      <c r="D6" s="142" t="s">
        <v>120</v>
      </c>
      <c r="E6" s="141" t="s">
        <v>121</v>
      </c>
      <c r="F6" s="140" t="s">
        <v>122</v>
      </c>
      <c r="G6" s="141" t="s">
        <v>31</v>
      </c>
      <c r="H6" s="144" t="s">
        <v>32</v>
      </c>
      <c r="I6" s="144" t="s">
        <v>123</v>
      </c>
      <c r="J6" s="144" t="s">
        <v>33</v>
      </c>
      <c r="K6" s="144" t="s">
        <v>124</v>
      </c>
      <c r="L6" s="144" t="s">
        <v>125</v>
      </c>
      <c r="M6" s="144" t="s">
        <v>126</v>
      </c>
      <c r="N6" s="144" t="s">
        <v>127</v>
      </c>
      <c r="O6" s="144" t="s">
        <v>128</v>
      </c>
      <c r="P6" s="144" t="s">
        <v>129</v>
      </c>
      <c r="Q6" s="144" t="s">
        <v>130</v>
      </c>
      <c r="R6" s="144" t="s">
        <v>131</v>
      </c>
      <c r="S6" s="144" t="s">
        <v>132</v>
      </c>
      <c r="T6" s="144" t="s">
        <v>133</v>
      </c>
      <c r="U6" s="144" t="s">
        <v>134</v>
      </c>
      <c r="V6" s="144" t="s">
        <v>135</v>
      </c>
      <c r="W6" s="144" t="s">
        <v>136</v>
      </c>
      <c r="X6" s="144" t="s">
        <v>137</v>
      </c>
      <c r="Y6" s="144" t="s">
        <v>138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59" t="s">
        <v>139</v>
      </c>
      <c r="B8" s="160" t="s">
        <v>63</v>
      </c>
      <c r="C8" s="178" t="s">
        <v>64</v>
      </c>
      <c r="D8" s="161"/>
      <c r="E8" s="162"/>
      <c r="F8" s="163"/>
      <c r="G8" s="164">
        <f>SUMIF(AG9:AG23,"&lt;&gt;NOR",G9:G23)</f>
        <v>0</v>
      </c>
      <c r="H8" s="158"/>
      <c r="I8" s="158">
        <f>SUM(I9:I23)</f>
        <v>0</v>
      </c>
      <c r="J8" s="158"/>
      <c r="K8" s="158">
        <f>SUM(K9:K23)</f>
        <v>105533.09</v>
      </c>
      <c r="L8" s="158"/>
      <c r="M8" s="158">
        <f>SUM(M9:M23)</f>
        <v>0</v>
      </c>
      <c r="N8" s="157"/>
      <c r="O8" s="157">
        <f>SUM(O9:O23)</f>
        <v>0</v>
      </c>
      <c r="P8" s="157"/>
      <c r="Q8" s="157">
        <f>SUM(Q9:Q23)</f>
        <v>0</v>
      </c>
      <c r="R8" s="158"/>
      <c r="S8" s="158"/>
      <c r="T8" s="158"/>
      <c r="U8" s="158"/>
      <c r="V8" s="158">
        <f>SUM(V9:V23)</f>
        <v>65.79000000000002</v>
      </c>
      <c r="W8" s="158"/>
      <c r="X8" s="158"/>
      <c r="Y8" s="158"/>
      <c r="AG8" t="s">
        <v>140</v>
      </c>
    </row>
    <row r="9" spans="1:60" ht="20.399999999999999" outlineLevel="1" x14ac:dyDescent="0.25">
      <c r="A9" s="166">
        <v>1</v>
      </c>
      <c r="B9" s="167" t="s">
        <v>195</v>
      </c>
      <c r="C9" s="180" t="s">
        <v>196</v>
      </c>
      <c r="D9" s="168" t="s">
        <v>197</v>
      </c>
      <c r="E9" s="169">
        <f>E10</f>
        <v>83.737499999999997</v>
      </c>
      <c r="F9" s="170"/>
      <c r="G9" s="171">
        <f>ROUND(E9*F9,2)</f>
        <v>0</v>
      </c>
      <c r="H9" s="156">
        <v>0</v>
      </c>
      <c r="I9" s="155">
        <f>ROUND(E9*H9,2)</f>
        <v>0</v>
      </c>
      <c r="J9" s="156">
        <v>125.5</v>
      </c>
      <c r="K9" s="155">
        <f>ROUND(E9*J9,2)</f>
        <v>10509.06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999</v>
      </c>
      <c r="T9" s="155" t="s">
        <v>999</v>
      </c>
      <c r="U9" s="155">
        <v>0.15</v>
      </c>
      <c r="V9" s="155">
        <f>ROUND(E9*U9,2)</f>
        <v>12.56</v>
      </c>
      <c r="W9" s="155"/>
      <c r="X9" s="155" t="s">
        <v>146</v>
      </c>
      <c r="Y9" s="155" t="s">
        <v>147</v>
      </c>
      <c r="Z9" s="145"/>
      <c r="AA9" s="145"/>
      <c r="AB9" s="145"/>
      <c r="AC9" s="145"/>
      <c r="AD9" s="145"/>
      <c r="AE9" s="145"/>
      <c r="AF9" s="145"/>
      <c r="AG9" s="145" t="s">
        <v>148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2" x14ac:dyDescent="0.25">
      <c r="A10" s="152"/>
      <c r="B10" s="153"/>
      <c r="C10" s="187" t="s">
        <v>1024</v>
      </c>
      <c r="D10" s="184"/>
      <c r="E10" s="185">
        <f>9.625*8.7</f>
        <v>83.737499999999997</v>
      </c>
      <c r="F10" s="155"/>
      <c r="G10" s="155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5"/>
      <c r="AA10" s="145"/>
      <c r="AB10" s="145"/>
      <c r="AC10" s="145"/>
      <c r="AD10" s="145"/>
      <c r="AE10" s="145"/>
      <c r="AF10" s="145"/>
      <c r="AG10" s="145" t="s">
        <v>198</v>
      </c>
      <c r="AH10" s="145">
        <v>0</v>
      </c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5">
      <c r="A11" s="166">
        <v>2</v>
      </c>
      <c r="B11" s="167" t="s">
        <v>199</v>
      </c>
      <c r="C11" s="180" t="s">
        <v>200</v>
      </c>
      <c r="D11" s="168" t="s">
        <v>201</v>
      </c>
      <c r="E11" s="169">
        <f>E12</f>
        <v>39.155124999999998</v>
      </c>
      <c r="F11" s="170"/>
      <c r="G11" s="171">
        <f>ROUND(E11*F11,2)</f>
        <v>0</v>
      </c>
      <c r="H11" s="156">
        <v>0</v>
      </c>
      <c r="I11" s="155">
        <f>ROUND(E11*H11,2)</f>
        <v>0</v>
      </c>
      <c r="J11" s="156">
        <v>140</v>
      </c>
      <c r="K11" s="155">
        <f>ROUND(E11*J11,2)</f>
        <v>5481.72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999</v>
      </c>
      <c r="T11" s="155" t="s">
        <v>999</v>
      </c>
      <c r="U11" s="155">
        <v>0.11</v>
      </c>
      <c r="V11" s="155">
        <f>ROUND(E11*U11,2)</f>
        <v>4.3099999999999996</v>
      </c>
      <c r="W11" s="155"/>
      <c r="X11" s="155" t="s">
        <v>146</v>
      </c>
      <c r="Y11" s="155" t="s">
        <v>147</v>
      </c>
      <c r="Z11" s="145"/>
      <c r="AA11" s="145"/>
      <c r="AB11" s="145"/>
      <c r="AC11" s="145"/>
      <c r="AD11" s="145"/>
      <c r="AE11" s="145"/>
      <c r="AF11" s="145"/>
      <c r="AG11" s="145" t="s">
        <v>148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2" x14ac:dyDescent="0.25">
      <c r="A12" s="152"/>
      <c r="B12" s="153"/>
      <c r="C12" s="187" t="s">
        <v>1025</v>
      </c>
      <c r="D12" s="184"/>
      <c r="E12" s="185">
        <f>8.625*7.7*0.57+1*1*(1.87-0.57)</f>
        <v>39.155124999999998</v>
      </c>
      <c r="F12" s="155"/>
      <c r="G12" s="155"/>
      <c r="H12" s="155"/>
      <c r="I12" s="155"/>
      <c r="J12" s="155"/>
      <c r="K12" s="155"/>
      <c r="L12" s="155"/>
      <c r="M12" s="155"/>
      <c r="N12" s="154"/>
      <c r="O12" s="154"/>
      <c r="P12" s="154"/>
      <c r="Q12" s="154"/>
      <c r="R12" s="155"/>
      <c r="S12" s="155"/>
      <c r="T12" s="155"/>
      <c r="U12" s="155"/>
      <c r="V12" s="155"/>
      <c r="W12" s="155"/>
      <c r="X12" s="155"/>
      <c r="Y12" s="155"/>
      <c r="Z12" s="145"/>
      <c r="AA12" s="145"/>
      <c r="AB12" s="145"/>
      <c r="AC12" s="145"/>
      <c r="AD12" s="145"/>
      <c r="AE12" s="145"/>
      <c r="AF12" s="145"/>
      <c r="AG12" s="145" t="s">
        <v>198</v>
      </c>
      <c r="AH12" s="145">
        <v>0</v>
      </c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5">
      <c r="A13" s="172">
        <v>3</v>
      </c>
      <c r="B13" s="173" t="s">
        <v>202</v>
      </c>
      <c r="C13" s="179" t="s">
        <v>203</v>
      </c>
      <c r="D13" s="174" t="s">
        <v>201</v>
      </c>
      <c r="E13" s="175">
        <f>E11</f>
        <v>39.155124999999998</v>
      </c>
      <c r="F13" s="176"/>
      <c r="G13" s="177">
        <f>ROUND(E13*F13,2)</f>
        <v>0</v>
      </c>
      <c r="H13" s="156">
        <v>0</v>
      </c>
      <c r="I13" s="155">
        <f>ROUND(E13*H13,2)</f>
        <v>0</v>
      </c>
      <c r="J13" s="156">
        <v>27.9</v>
      </c>
      <c r="K13" s="155">
        <f>ROUND(E13*J13,2)</f>
        <v>1092.43</v>
      </c>
      <c r="L13" s="155">
        <v>21</v>
      </c>
      <c r="M13" s="155">
        <f>G13*(1+L13/100)</f>
        <v>0</v>
      </c>
      <c r="N13" s="154">
        <v>0</v>
      </c>
      <c r="O13" s="154">
        <f>ROUND(E13*N13,2)</f>
        <v>0</v>
      </c>
      <c r="P13" s="154">
        <v>0</v>
      </c>
      <c r="Q13" s="154">
        <f>ROUND(E13*P13,2)</f>
        <v>0</v>
      </c>
      <c r="R13" s="155"/>
      <c r="S13" s="155" t="s">
        <v>999</v>
      </c>
      <c r="T13" s="155" t="s">
        <v>999</v>
      </c>
      <c r="U13" s="155">
        <v>0.04</v>
      </c>
      <c r="V13" s="155">
        <f>ROUND(E13*U13,2)</f>
        <v>1.57</v>
      </c>
      <c r="W13" s="155"/>
      <c r="X13" s="155" t="s">
        <v>146</v>
      </c>
      <c r="Y13" s="155" t="s">
        <v>147</v>
      </c>
      <c r="Z13" s="145"/>
      <c r="AA13" s="145"/>
      <c r="AB13" s="145"/>
      <c r="AC13" s="145"/>
      <c r="AD13" s="145"/>
      <c r="AE13" s="145"/>
      <c r="AF13" s="145"/>
      <c r="AG13" s="145" t="s">
        <v>148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5">
      <c r="A14" s="235" t="s">
        <v>1022</v>
      </c>
      <c r="B14" s="167" t="s">
        <v>715</v>
      </c>
      <c r="C14" s="180" t="s">
        <v>716</v>
      </c>
      <c r="D14" s="168" t="s">
        <v>201</v>
      </c>
      <c r="E14" s="169">
        <f>E15</f>
        <v>22.90625</v>
      </c>
      <c r="F14" s="170"/>
      <c r="G14" s="171">
        <f>ROUND(E14*F14,2)</f>
        <v>0</v>
      </c>
      <c r="H14" s="156"/>
      <c r="I14" s="155"/>
      <c r="J14" s="156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5">
      <c r="A15" s="152"/>
      <c r="B15" s="153"/>
      <c r="C15" s="187" t="s">
        <v>1021</v>
      </c>
      <c r="D15" s="184"/>
      <c r="E15" s="185">
        <f>(9.625+8.7)*2*0.5*1.25</f>
        <v>22.90625</v>
      </c>
      <c r="F15" s="155"/>
      <c r="G15" s="177"/>
      <c r="H15" s="156"/>
      <c r="I15" s="155"/>
      <c r="J15" s="156"/>
      <c r="K15" s="155"/>
      <c r="L15" s="155"/>
      <c r="M15" s="155"/>
      <c r="N15" s="154"/>
      <c r="O15" s="154"/>
      <c r="P15" s="154"/>
      <c r="Q15" s="154"/>
      <c r="R15" s="155"/>
      <c r="S15" s="155"/>
      <c r="T15" s="155"/>
      <c r="U15" s="155"/>
      <c r="V15" s="155"/>
      <c r="W15" s="155"/>
      <c r="X15" s="155"/>
      <c r="Y15" s="15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5">
      <c r="A16" s="234" t="s">
        <v>1023</v>
      </c>
      <c r="B16" s="228" t="s">
        <v>717</v>
      </c>
      <c r="C16" s="229" t="s">
        <v>718</v>
      </c>
      <c r="D16" s="230" t="s">
        <v>201</v>
      </c>
      <c r="E16" s="231">
        <f>E14</f>
        <v>22.90625</v>
      </c>
      <c r="F16" s="232"/>
      <c r="G16" s="233">
        <f t="shared" ref="G16" si="0">ROUND(E16*F16,2)</f>
        <v>0</v>
      </c>
      <c r="H16" s="156"/>
      <c r="I16" s="155"/>
      <c r="J16" s="156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5">
      <c r="A17" s="172">
        <v>6</v>
      </c>
      <c r="B17" s="173" t="s">
        <v>206</v>
      </c>
      <c r="C17" s="179" t="s">
        <v>207</v>
      </c>
      <c r="D17" s="174" t="s">
        <v>201</v>
      </c>
      <c r="E17" s="175">
        <f>E11+E14</f>
        <v>62.061374999999998</v>
      </c>
      <c r="F17" s="176"/>
      <c r="G17" s="177">
        <f>ROUND(E17*F17,2)</f>
        <v>0</v>
      </c>
      <c r="H17" s="156">
        <v>0</v>
      </c>
      <c r="I17" s="155">
        <f>ROUND(E17*H17,2)</f>
        <v>0</v>
      </c>
      <c r="J17" s="156">
        <v>49.4</v>
      </c>
      <c r="K17" s="155">
        <f>ROUND(E17*J17,2)</f>
        <v>3065.83</v>
      </c>
      <c r="L17" s="155">
        <v>21</v>
      </c>
      <c r="M17" s="155">
        <f>G17*(1+L17/100)</f>
        <v>0</v>
      </c>
      <c r="N17" s="154">
        <v>0</v>
      </c>
      <c r="O17" s="154">
        <f>ROUND(E17*N17,2)</f>
        <v>0</v>
      </c>
      <c r="P17" s="154">
        <v>0</v>
      </c>
      <c r="Q17" s="154">
        <f>ROUND(E17*P17,2)</f>
        <v>0</v>
      </c>
      <c r="R17" s="155"/>
      <c r="S17" s="155" t="s">
        <v>999</v>
      </c>
      <c r="T17" s="155" t="s">
        <v>999</v>
      </c>
      <c r="U17" s="155">
        <v>0.09</v>
      </c>
      <c r="V17" s="155">
        <f>ROUND(E17*U17,2)</f>
        <v>5.59</v>
      </c>
      <c r="W17" s="155"/>
      <c r="X17" s="155" t="s">
        <v>146</v>
      </c>
      <c r="Y17" s="155" t="s">
        <v>147</v>
      </c>
      <c r="Z17" s="145"/>
      <c r="AA17" s="145"/>
      <c r="AB17" s="145"/>
      <c r="AC17" s="145"/>
      <c r="AD17" s="145"/>
      <c r="AE17" s="145"/>
      <c r="AF17" s="145"/>
      <c r="AG17" s="145" t="s">
        <v>148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5">
      <c r="A18" s="166">
        <v>7</v>
      </c>
      <c r="B18" s="167" t="s">
        <v>208</v>
      </c>
      <c r="C18" s="180" t="s">
        <v>209</v>
      </c>
      <c r="D18" s="168" t="s">
        <v>201</v>
      </c>
      <c r="E18" s="169">
        <v>62.06138</v>
      </c>
      <c r="F18" s="170"/>
      <c r="G18" s="171">
        <f>ROUND(E18*F18,2)</f>
        <v>0</v>
      </c>
      <c r="H18" s="156">
        <v>0</v>
      </c>
      <c r="I18" s="155">
        <f>ROUND(E18*H18,2)</f>
        <v>0</v>
      </c>
      <c r="J18" s="156">
        <v>308</v>
      </c>
      <c r="K18" s="155">
        <f>ROUND(E18*J18,2)</f>
        <v>19114.91</v>
      </c>
      <c r="L18" s="155">
        <v>21</v>
      </c>
      <c r="M18" s="155">
        <f>G18*(1+L18/100)</f>
        <v>0</v>
      </c>
      <c r="N18" s="154">
        <v>0</v>
      </c>
      <c r="O18" s="154">
        <f>ROUND(E18*N18,2)</f>
        <v>0</v>
      </c>
      <c r="P18" s="154">
        <v>0</v>
      </c>
      <c r="Q18" s="154">
        <f>ROUND(E18*P18,2)</f>
        <v>0</v>
      </c>
      <c r="R18" s="155"/>
      <c r="S18" s="155" t="s">
        <v>999</v>
      </c>
      <c r="T18" s="155" t="s">
        <v>999</v>
      </c>
      <c r="U18" s="155">
        <v>0.65200000000000002</v>
      </c>
      <c r="V18" s="155">
        <f>ROUND(E18*U18,2)</f>
        <v>40.46</v>
      </c>
      <c r="W18" s="155"/>
      <c r="X18" s="155" t="s">
        <v>146</v>
      </c>
      <c r="Y18" s="155" t="s">
        <v>147</v>
      </c>
      <c r="Z18" s="145"/>
      <c r="AA18" s="145"/>
      <c r="AB18" s="145"/>
      <c r="AC18" s="145"/>
      <c r="AD18" s="145"/>
      <c r="AE18" s="145"/>
      <c r="AF18" s="145"/>
      <c r="AG18" s="145" t="s">
        <v>148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2" x14ac:dyDescent="0.25">
      <c r="A19" s="152"/>
      <c r="B19" s="153"/>
      <c r="C19" s="187" t="s">
        <v>1026</v>
      </c>
      <c r="D19" s="184"/>
      <c r="E19" s="185">
        <v>62.06138</v>
      </c>
      <c r="F19" s="155"/>
      <c r="G19" s="155"/>
      <c r="H19" s="155"/>
      <c r="I19" s="155"/>
      <c r="J19" s="155"/>
      <c r="K19" s="155"/>
      <c r="L19" s="155"/>
      <c r="M19" s="155"/>
      <c r="N19" s="154"/>
      <c r="O19" s="154"/>
      <c r="P19" s="154"/>
      <c r="Q19" s="154"/>
      <c r="R19" s="155"/>
      <c r="S19" s="155"/>
      <c r="T19" s="155"/>
      <c r="U19" s="155"/>
      <c r="V19" s="155"/>
      <c r="W19" s="155"/>
      <c r="X19" s="155"/>
      <c r="Y19" s="155"/>
      <c r="Z19" s="145"/>
      <c r="AA19" s="145"/>
      <c r="AB19" s="145"/>
      <c r="AC19" s="145"/>
      <c r="AD19" s="145"/>
      <c r="AE19" s="145"/>
      <c r="AF19" s="145"/>
      <c r="AG19" s="145" t="s">
        <v>198</v>
      </c>
      <c r="AH19" s="145">
        <v>5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5">
      <c r="A20" s="172">
        <v>8</v>
      </c>
      <c r="B20" s="173" t="s">
        <v>210</v>
      </c>
      <c r="C20" s="179" t="s">
        <v>211</v>
      </c>
      <c r="D20" s="174" t="s">
        <v>201</v>
      </c>
      <c r="E20" s="175">
        <v>62.06138</v>
      </c>
      <c r="F20" s="176"/>
      <c r="G20" s="177">
        <f>ROUND(E20*F20,2)</f>
        <v>0</v>
      </c>
      <c r="H20" s="156">
        <v>0</v>
      </c>
      <c r="I20" s="155">
        <f>ROUND(E20*H20,2)</f>
        <v>0</v>
      </c>
      <c r="J20" s="156">
        <v>296.5</v>
      </c>
      <c r="K20" s="155">
        <f>ROUND(E20*J20,2)</f>
        <v>18401.2</v>
      </c>
      <c r="L20" s="155">
        <v>21</v>
      </c>
      <c r="M20" s="155">
        <f>G20*(1+L20/100)</f>
        <v>0</v>
      </c>
      <c r="N20" s="154">
        <v>0</v>
      </c>
      <c r="O20" s="154">
        <f>ROUND(E20*N20,2)</f>
        <v>0</v>
      </c>
      <c r="P20" s="154">
        <v>0</v>
      </c>
      <c r="Q20" s="154">
        <f>ROUND(E20*P20,2)</f>
        <v>0</v>
      </c>
      <c r="R20" s="155"/>
      <c r="S20" s="155" t="s">
        <v>999</v>
      </c>
      <c r="T20" s="155" t="s">
        <v>999</v>
      </c>
      <c r="U20" s="155">
        <v>1.0999999999999999E-2</v>
      </c>
      <c r="V20" s="155">
        <f>ROUND(E20*U20,2)</f>
        <v>0.68</v>
      </c>
      <c r="W20" s="155"/>
      <c r="X20" s="155" t="s">
        <v>146</v>
      </c>
      <c r="Y20" s="155" t="s">
        <v>147</v>
      </c>
      <c r="Z20" s="145"/>
      <c r="AA20" s="145"/>
      <c r="AB20" s="145"/>
      <c r="AC20" s="145"/>
      <c r="AD20" s="145"/>
      <c r="AE20" s="145"/>
      <c r="AF20" s="145"/>
      <c r="AG20" s="145" t="s">
        <v>148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5">
      <c r="A21" s="172">
        <v>9</v>
      </c>
      <c r="B21" s="173" t="s">
        <v>212</v>
      </c>
      <c r="C21" s="179" t="s">
        <v>213</v>
      </c>
      <c r="D21" s="174" t="s">
        <v>201</v>
      </c>
      <c r="E21" s="175">
        <v>620.61379999999997</v>
      </c>
      <c r="F21" s="176"/>
      <c r="G21" s="177">
        <f>ROUND(E21*F21,2)</f>
        <v>0</v>
      </c>
      <c r="H21" s="156">
        <v>0</v>
      </c>
      <c r="I21" s="155">
        <f>ROUND(E21*H21,2)</f>
        <v>0</v>
      </c>
      <c r="J21" s="156">
        <v>23.9</v>
      </c>
      <c r="K21" s="155">
        <f>ROUND(E21*J21,2)</f>
        <v>14832.67</v>
      </c>
      <c r="L21" s="155">
        <v>21</v>
      </c>
      <c r="M21" s="155">
        <f>G21*(1+L21/100)</f>
        <v>0</v>
      </c>
      <c r="N21" s="154">
        <v>0</v>
      </c>
      <c r="O21" s="154">
        <f>ROUND(E21*N21,2)</f>
        <v>0</v>
      </c>
      <c r="P21" s="154">
        <v>0</v>
      </c>
      <c r="Q21" s="154">
        <f>ROUND(E21*P21,2)</f>
        <v>0</v>
      </c>
      <c r="R21" s="155"/>
      <c r="S21" s="155" t="s">
        <v>999</v>
      </c>
      <c r="T21" s="155" t="s">
        <v>999</v>
      </c>
      <c r="U21" s="155">
        <v>0</v>
      </c>
      <c r="V21" s="155">
        <f>ROUND(E21*U21,2)</f>
        <v>0</v>
      </c>
      <c r="W21" s="155"/>
      <c r="X21" s="155" t="s">
        <v>146</v>
      </c>
      <c r="Y21" s="155" t="s">
        <v>147</v>
      </c>
      <c r="Z21" s="145"/>
      <c r="AA21" s="145"/>
      <c r="AB21" s="145"/>
      <c r="AC21" s="145"/>
      <c r="AD21" s="145"/>
      <c r="AE21" s="145"/>
      <c r="AF21" s="145"/>
      <c r="AG21" s="145" t="s">
        <v>148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5">
      <c r="A22" s="172">
        <v>10</v>
      </c>
      <c r="B22" s="173" t="s">
        <v>214</v>
      </c>
      <c r="C22" s="179" t="s">
        <v>215</v>
      </c>
      <c r="D22" s="174" t="s">
        <v>201</v>
      </c>
      <c r="E22" s="175">
        <v>62.06138</v>
      </c>
      <c r="F22" s="176"/>
      <c r="G22" s="177">
        <f>ROUND(E22*F22,2)</f>
        <v>0</v>
      </c>
      <c r="H22" s="156">
        <v>0</v>
      </c>
      <c r="I22" s="155">
        <f>ROUND(E22*H22,2)</f>
        <v>0</v>
      </c>
      <c r="J22" s="156">
        <v>19.3</v>
      </c>
      <c r="K22" s="155">
        <f>ROUND(E22*J22,2)</f>
        <v>1197.78</v>
      </c>
      <c r="L22" s="155">
        <v>21</v>
      </c>
      <c r="M22" s="155">
        <f>G22*(1+L22/100)</f>
        <v>0</v>
      </c>
      <c r="N22" s="154">
        <v>0</v>
      </c>
      <c r="O22" s="154">
        <f>ROUND(E22*N22,2)</f>
        <v>0</v>
      </c>
      <c r="P22" s="154">
        <v>0</v>
      </c>
      <c r="Q22" s="154">
        <f>ROUND(E22*P22,2)</f>
        <v>0</v>
      </c>
      <c r="R22" s="155"/>
      <c r="S22" s="155" t="s">
        <v>999</v>
      </c>
      <c r="T22" s="155" t="s">
        <v>999</v>
      </c>
      <c r="U22" s="155">
        <v>0.01</v>
      </c>
      <c r="V22" s="155">
        <f>ROUND(E22*U22,2)</f>
        <v>0.62</v>
      </c>
      <c r="W22" s="155"/>
      <c r="X22" s="155" t="s">
        <v>146</v>
      </c>
      <c r="Y22" s="155" t="s">
        <v>147</v>
      </c>
      <c r="Z22" s="145"/>
      <c r="AA22" s="145"/>
      <c r="AB22" s="145"/>
      <c r="AC22" s="145"/>
      <c r="AD22" s="145"/>
      <c r="AE22" s="145"/>
      <c r="AF22" s="145"/>
      <c r="AG22" s="145" t="s">
        <v>148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5">
      <c r="A23" s="172">
        <v>11</v>
      </c>
      <c r="B23" s="173" t="s">
        <v>216</v>
      </c>
      <c r="C23" s="179" t="s">
        <v>217</v>
      </c>
      <c r="D23" s="174" t="s">
        <v>201</v>
      </c>
      <c r="E23" s="175">
        <v>62.06138</v>
      </c>
      <c r="F23" s="176"/>
      <c r="G23" s="177">
        <f>ROUND(E23*F23,2)</f>
        <v>0</v>
      </c>
      <c r="H23" s="156">
        <v>0</v>
      </c>
      <c r="I23" s="155">
        <f>ROUND(E23*H23,2)</f>
        <v>0</v>
      </c>
      <c r="J23" s="156">
        <v>513</v>
      </c>
      <c r="K23" s="155">
        <f>ROUND(E23*J23,2)</f>
        <v>31837.49</v>
      </c>
      <c r="L23" s="155">
        <v>21</v>
      </c>
      <c r="M23" s="155">
        <f>G23*(1+L23/100)</f>
        <v>0</v>
      </c>
      <c r="N23" s="154">
        <v>0</v>
      </c>
      <c r="O23" s="154">
        <f>ROUND(E23*N23,2)</f>
        <v>0</v>
      </c>
      <c r="P23" s="154">
        <v>0</v>
      </c>
      <c r="Q23" s="154">
        <f>ROUND(E23*P23,2)</f>
        <v>0</v>
      </c>
      <c r="R23" s="155"/>
      <c r="S23" s="155" t="s">
        <v>999</v>
      </c>
      <c r="T23" s="155" t="s">
        <v>999</v>
      </c>
      <c r="U23" s="155">
        <v>0</v>
      </c>
      <c r="V23" s="155">
        <f>ROUND(E23*U23,2)</f>
        <v>0</v>
      </c>
      <c r="W23" s="155"/>
      <c r="X23" s="155" t="s">
        <v>146</v>
      </c>
      <c r="Y23" s="155" t="s">
        <v>147</v>
      </c>
      <c r="Z23" s="145"/>
      <c r="AA23" s="145"/>
      <c r="AB23" s="145"/>
      <c r="AC23" s="145"/>
      <c r="AD23" s="145"/>
      <c r="AE23" s="145"/>
      <c r="AF23" s="145"/>
      <c r="AG23" s="145" t="s">
        <v>148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x14ac:dyDescent="0.25">
      <c r="A24" s="159" t="s">
        <v>139</v>
      </c>
      <c r="B24" s="160" t="s">
        <v>65</v>
      </c>
      <c r="C24" s="178" t="s">
        <v>66</v>
      </c>
      <c r="D24" s="161"/>
      <c r="E24" s="162"/>
      <c r="F24" s="163"/>
      <c r="G24" s="164">
        <f>SUMIF(AG25:AG39,"&lt;&gt;NOR",G25:G39)</f>
        <v>0</v>
      </c>
      <c r="H24" s="158"/>
      <c r="I24" s="158">
        <f>SUM(I25:I39)</f>
        <v>221752.59000000003</v>
      </c>
      <c r="J24" s="158"/>
      <c r="K24" s="158">
        <f>SUM(K25:K39)</f>
        <v>50836.52</v>
      </c>
      <c r="L24" s="158"/>
      <c r="M24" s="158">
        <f>SUM(M25:M39)</f>
        <v>0</v>
      </c>
      <c r="N24" s="157"/>
      <c r="O24" s="157">
        <f>SUM(O25:O39)</f>
        <v>102.25</v>
      </c>
      <c r="P24" s="157"/>
      <c r="Q24" s="157">
        <f>SUM(Q25:Q39)</f>
        <v>0</v>
      </c>
      <c r="R24" s="158"/>
      <c r="S24" s="158"/>
      <c r="T24" s="158"/>
      <c r="U24" s="158"/>
      <c r="V24" s="158">
        <f>SUM(V25:V39)</f>
        <v>90.12</v>
      </c>
      <c r="W24" s="158"/>
      <c r="X24" s="158"/>
      <c r="Y24" s="158"/>
      <c r="AG24" t="s">
        <v>140</v>
      </c>
    </row>
    <row r="25" spans="1:60" outlineLevel="1" x14ac:dyDescent="0.25">
      <c r="A25" s="166">
        <v>12</v>
      </c>
      <c r="B25" s="167" t="s">
        <v>218</v>
      </c>
      <c r="C25" s="180" t="s">
        <v>219</v>
      </c>
      <c r="D25" s="168" t="s">
        <v>201</v>
      </c>
      <c r="E25" s="169">
        <f>E26</f>
        <v>18.422249999999998</v>
      </c>
      <c r="F25" s="170"/>
      <c r="G25" s="171">
        <f>ROUND(E25*F25,2)</f>
        <v>0</v>
      </c>
      <c r="H25" s="156">
        <v>3112.7</v>
      </c>
      <c r="I25" s="155">
        <f>ROUND(E25*H25,2)</f>
        <v>57342.94</v>
      </c>
      <c r="J25" s="156">
        <v>322.3</v>
      </c>
      <c r="K25" s="155">
        <f>ROUND(E25*J25,2)</f>
        <v>5937.49</v>
      </c>
      <c r="L25" s="155">
        <v>21</v>
      </c>
      <c r="M25" s="155">
        <f>G25*(1+L25/100)</f>
        <v>0</v>
      </c>
      <c r="N25" s="154">
        <v>2.5249999999999999</v>
      </c>
      <c r="O25" s="154">
        <f>ROUND(E25*N25,2)</f>
        <v>46.52</v>
      </c>
      <c r="P25" s="154">
        <v>0</v>
      </c>
      <c r="Q25" s="154">
        <f>ROUND(E25*P25,2)</f>
        <v>0</v>
      </c>
      <c r="R25" s="155"/>
      <c r="S25" s="155" t="s">
        <v>999</v>
      </c>
      <c r="T25" s="155" t="s">
        <v>999</v>
      </c>
      <c r="U25" s="155">
        <v>0.48</v>
      </c>
      <c r="V25" s="155">
        <f>ROUND(E25*U25,2)</f>
        <v>8.84</v>
      </c>
      <c r="W25" s="155"/>
      <c r="X25" s="155" t="s">
        <v>146</v>
      </c>
      <c r="Y25" s="155" t="s">
        <v>147</v>
      </c>
      <c r="Z25" s="145"/>
      <c r="AA25" s="145"/>
      <c r="AB25" s="145"/>
      <c r="AC25" s="145"/>
      <c r="AD25" s="145"/>
      <c r="AE25" s="145"/>
      <c r="AF25" s="145"/>
      <c r="AG25" s="145" t="s">
        <v>148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2" x14ac:dyDescent="0.25">
      <c r="A26" s="152"/>
      <c r="B26" s="153"/>
      <c r="C26" s="187" t="s">
        <v>1028</v>
      </c>
      <c r="D26" s="184"/>
      <c r="E26" s="185">
        <f>0.22*8.7*9.625</f>
        <v>18.422249999999998</v>
      </c>
      <c r="F26" s="155"/>
      <c r="G26" s="155"/>
      <c r="H26" s="155"/>
      <c r="I26" s="155"/>
      <c r="J26" s="155"/>
      <c r="K26" s="155"/>
      <c r="L26" s="155"/>
      <c r="M26" s="155"/>
      <c r="N26" s="154"/>
      <c r="O26" s="154"/>
      <c r="P26" s="154"/>
      <c r="Q26" s="154"/>
      <c r="R26" s="155"/>
      <c r="S26" s="155"/>
      <c r="T26" s="155"/>
      <c r="U26" s="155"/>
      <c r="V26" s="155"/>
      <c r="W26" s="155"/>
      <c r="X26" s="155"/>
      <c r="Y26" s="155"/>
      <c r="Z26" s="145"/>
      <c r="AA26" s="145"/>
      <c r="AB26" s="145"/>
      <c r="AC26" s="145"/>
      <c r="AD26" s="145"/>
      <c r="AE26" s="145"/>
      <c r="AF26" s="145"/>
      <c r="AG26" s="145" t="s">
        <v>198</v>
      </c>
      <c r="AH26" s="145">
        <v>0</v>
      </c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5">
      <c r="A27" s="166">
        <v>13</v>
      </c>
      <c r="B27" s="167" t="s">
        <v>220</v>
      </c>
      <c r="C27" s="180" t="s">
        <v>221</v>
      </c>
      <c r="D27" s="168" t="s">
        <v>197</v>
      </c>
      <c r="E27" s="169">
        <f>E28</f>
        <v>8.0630000000000006</v>
      </c>
      <c r="F27" s="170"/>
      <c r="G27" s="171">
        <f>ROUND(E27*F27,2)</f>
        <v>0</v>
      </c>
      <c r="H27" s="156">
        <v>245.94</v>
      </c>
      <c r="I27" s="155">
        <f>ROUND(E27*H27,2)</f>
        <v>1983.01</v>
      </c>
      <c r="J27" s="156">
        <v>712.06</v>
      </c>
      <c r="K27" s="155">
        <f>ROUND(E27*J27,2)</f>
        <v>5741.34</v>
      </c>
      <c r="L27" s="155">
        <v>21</v>
      </c>
      <c r="M27" s="155">
        <f>G27*(1+L27/100)</f>
        <v>0</v>
      </c>
      <c r="N27" s="154">
        <v>3.9199999999999999E-2</v>
      </c>
      <c r="O27" s="154">
        <f>ROUND(E27*N27,2)</f>
        <v>0.32</v>
      </c>
      <c r="P27" s="154">
        <v>0</v>
      </c>
      <c r="Q27" s="154">
        <f>ROUND(E27*P27,2)</f>
        <v>0</v>
      </c>
      <c r="R27" s="155"/>
      <c r="S27" s="155" t="s">
        <v>999</v>
      </c>
      <c r="T27" s="155" t="s">
        <v>999</v>
      </c>
      <c r="U27" s="155">
        <v>1.6</v>
      </c>
      <c r="V27" s="155">
        <f>ROUND(E27*U27,2)</f>
        <v>12.9</v>
      </c>
      <c r="W27" s="155"/>
      <c r="X27" s="155" t="s">
        <v>146</v>
      </c>
      <c r="Y27" s="155" t="s">
        <v>147</v>
      </c>
      <c r="Z27" s="145"/>
      <c r="AA27" s="145"/>
      <c r="AB27" s="145"/>
      <c r="AC27" s="145"/>
      <c r="AD27" s="145"/>
      <c r="AE27" s="145"/>
      <c r="AF27" s="145"/>
      <c r="AG27" s="145" t="s">
        <v>148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2" x14ac:dyDescent="0.25">
      <c r="A28" s="152"/>
      <c r="B28" s="153"/>
      <c r="C28" s="187" t="s">
        <v>1029</v>
      </c>
      <c r="D28" s="184"/>
      <c r="E28" s="185">
        <f>0.22*(8.7+9.625)*2</f>
        <v>8.0630000000000006</v>
      </c>
      <c r="F28" s="155"/>
      <c r="G28" s="155"/>
      <c r="H28" s="155"/>
      <c r="I28" s="155"/>
      <c r="J28" s="155"/>
      <c r="K28" s="155"/>
      <c r="L28" s="155"/>
      <c r="M28" s="155"/>
      <c r="N28" s="154"/>
      <c r="O28" s="154"/>
      <c r="P28" s="154"/>
      <c r="Q28" s="154"/>
      <c r="R28" s="155"/>
      <c r="S28" s="155"/>
      <c r="T28" s="155"/>
      <c r="U28" s="155"/>
      <c r="V28" s="155"/>
      <c r="W28" s="155"/>
      <c r="X28" s="155"/>
      <c r="Y28" s="155"/>
      <c r="Z28" s="145"/>
      <c r="AA28" s="145"/>
      <c r="AB28" s="145"/>
      <c r="AC28" s="145"/>
      <c r="AD28" s="145"/>
      <c r="AE28" s="145"/>
      <c r="AF28" s="145"/>
      <c r="AG28" s="145" t="s">
        <v>198</v>
      </c>
      <c r="AH28" s="145">
        <v>0</v>
      </c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5">
      <c r="A29" s="166">
        <v>14</v>
      </c>
      <c r="B29" s="167" t="s">
        <v>222</v>
      </c>
      <c r="C29" s="180" t="s">
        <v>223</v>
      </c>
      <c r="D29" s="168" t="s">
        <v>197</v>
      </c>
      <c r="E29" s="169">
        <f>E27</f>
        <v>8.0630000000000006</v>
      </c>
      <c r="F29" s="170"/>
      <c r="G29" s="171">
        <f>ROUND(E29*F29,2)</f>
        <v>0</v>
      </c>
      <c r="H29" s="156">
        <v>0</v>
      </c>
      <c r="I29" s="155">
        <f>ROUND(E29*H29,2)</f>
        <v>0</v>
      </c>
      <c r="J29" s="156">
        <v>143.5</v>
      </c>
      <c r="K29" s="155">
        <f>ROUND(E29*J29,2)</f>
        <v>1157.04</v>
      </c>
      <c r="L29" s="155">
        <v>21</v>
      </c>
      <c r="M29" s="155">
        <f>G29*(1+L29/100)</f>
        <v>0</v>
      </c>
      <c r="N29" s="154">
        <v>0</v>
      </c>
      <c r="O29" s="154">
        <f>ROUND(E29*N29,2)</f>
        <v>0</v>
      </c>
      <c r="P29" s="154">
        <v>0</v>
      </c>
      <c r="Q29" s="154">
        <f>ROUND(E29*P29,2)</f>
        <v>0</v>
      </c>
      <c r="R29" s="155"/>
      <c r="S29" s="155" t="s">
        <v>999</v>
      </c>
      <c r="T29" s="155" t="s">
        <v>999</v>
      </c>
      <c r="U29" s="155">
        <v>0.32</v>
      </c>
      <c r="V29" s="155">
        <f>ROUND(E29*U29,2)</f>
        <v>2.58</v>
      </c>
      <c r="W29" s="155"/>
      <c r="X29" s="155" t="s">
        <v>146</v>
      </c>
      <c r="Y29" s="155" t="s">
        <v>147</v>
      </c>
      <c r="Z29" s="145"/>
      <c r="AA29" s="145"/>
      <c r="AB29" s="145"/>
      <c r="AC29" s="145"/>
      <c r="AD29" s="145"/>
      <c r="AE29" s="145"/>
      <c r="AF29" s="145"/>
      <c r="AG29" s="145" t="s">
        <v>148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2" x14ac:dyDescent="0.25">
      <c r="A30" s="152"/>
      <c r="B30" s="153"/>
      <c r="C30" s="510" t="s">
        <v>224</v>
      </c>
      <c r="D30" s="511"/>
      <c r="E30" s="511"/>
      <c r="F30" s="511"/>
      <c r="G30" s="511"/>
      <c r="H30" s="155"/>
      <c r="I30" s="155"/>
      <c r="J30" s="155"/>
      <c r="K30" s="155"/>
      <c r="L30" s="155"/>
      <c r="M30" s="155"/>
      <c r="N30" s="154"/>
      <c r="O30" s="154"/>
      <c r="P30" s="154"/>
      <c r="Q30" s="154"/>
      <c r="R30" s="155"/>
      <c r="S30" s="155"/>
      <c r="T30" s="155"/>
      <c r="U30" s="155"/>
      <c r="V30" s="155"/>
      <c r="W30" s="155"/>
      <c r="X30" s="155"/>
      <c r="Y30" s="155"/>
      <c r="Z30" s="145"/>
      <c r="AA30" s="145"/>
      <c r="AB30" s="145"/>
      <c r="AC30" s="145"/>
      <c r="AD30" s="145"/>
      <c r="AE30" s="145"/>
      <c r="AF30" s="145"/>
      <c r="AG30" s="145" t="s">
        <v>225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2" x14ac:dyDescent="0.25">
      <c r="A31" s="152"/>
      <c r="B31" s="153"/>
      <c r="C31" s="187" t="s">
        <v>1030</v>
      </c>
      <c r="D31" s="184"/>
      <c r="E31" s="185">
        <v>8.0630000000000006</v>
      </c>
      <c r="F31" s="155"/>
      <c r="G31" s="155"/>
      <c r="H31" s="155"/>
      <c r="I31" s="155"/>
      <c r="J31" s="155"/>
      <c r="K31" s="155"/>
      <c r="L31" s="155"/>
      <c r="M31" s="155"/>
      <c r="N31" s="154"/>
      <c r="O31" s="154"/>
      <c r="P31" s="154"/>
      <c r="Q31" s="154"/>
      <c r="R31" s="155"/>
      <c r="S31" s="155"/>
      <c r="T31" s="155"/>
      <c r="U31" s="155"/>
      <c r="V31" s="155"/>
      <c r="W31" s="155"/>
      <c r="X31" s="155"/>
      <c r="Y31" s="155"/>
      <c r="Z31" s="145"/>
      <c r="AA31" s="145"/>
      <c r="AB31" s="145"/>
      <c r="AC31" s="145"/>
      <c r="AD31" s="145"/>
      <c r="AE31" s="145"/>
      <c r="AF31" s="145"/>
      <c r="AG31" s="145" t="s">
        <v>198</v>
      </c>
      <c r="AH31" s="145">
        <v>5</v>
      </c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ht="20.399999999999999" outlineLevel="1" x14ac:dyDescent="0.25">
      <c r="A32" s="166">
        <v>15</v>
      </c>
      <c r="B32" s="167" t="s">
        <v>226</v>
      </c>
      <c r="C32" s="180" t="s">
        <v>227</v>
      </c>
      <c r="D32" s="168" t="s">
        <v>228</v>
      </c>
      <c r="E32" s="169">
        <f>E33</f>
        <v>2.0264474999999997</v>
      </c>
      <c r="F32" s="170"/>
      <c r="G32" s="171">
        <f>ROUND(E32*F32,2)</f>
        <v>0</v>
      </c>
      <c r="H32" s="156">
        <v>46791.09</v>
      </c>
      <c r="I32" s="155">
        <f>ROUND(E32*H32,2)</f>
        <v>94819.69</v>
      </c>
      <c r="J32" s="156">
        <v>13868.91</v>
      </c>
      <c r="K32" s="155">
        <f>ROUND(E32*J32,2)</f>
        <v>28104.62</v>
      </c>
      <c r="L32" s="155">
        <v>21</v>
      </c>
      <c r="M32" s="155">
        <f>G32*(1+L32/100)</f>
        <v>0</v>
      </c>
      <c r="N32" s="154">
        <v>1.0217400000000001</v>
      </c>
      <c r="O32" s="154">
        <f>ROUND(E32*N32,2)</f>
        <v>2.0699999999999998</v>
      </c>
      <c r="P32" s="154">
        <v>0</v>
      </c>
      <c r="Q32" s="154">
        <f>ROUND(E32*P32,2)</f>
        <v>0</v>
      </c>
      <c r="R32" s="155"/>
      <c r="S32" s="155" t="s">
        <v>999</v>
      </c>
      <c r="T32" s="155" t="s">
        <v>999</v>
      </c>
      <c r="U32" s="155">
        <v>23.53</v>
      </c>
      <c r="V32" s="155">
        <f>ROUND(E32*U32,2)</f>
        <v>47.68</v>
      </c>
      <c r="W32" s="155"/>
      <c r="X32" s="155" t="s">
        <v>146</v>
      </c>
      <c r="Y32" s="155" t="s">
        <v>147</v>
      </c>
      <c r="Z32" s="145"/>
      <c r="AA32" s="145"/>
      <c r="AB32" s="145"/>
      <c r="AC32" s="145"/>
      <c r="AD32" s="145"/>
      <c r="AE32" s="145"/>
      <c r="AF32" s="145"/>
      <c r="AG32" s="145" t="s">
        <v>148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2" x14ac:dyDescent="0.25">
      <c r="A33" s="152"/>
      <c r="B33" s="153"/>
      <c r="C33" s="187" t="s">
        <v>1031</v>
      </c>
      <c r="D33" s="184"/>
      <c r="E33" s="185">
        <f>18.42225*110/1000</f>
        <v>2.0264474999999997</v>
      </c>
      <c r="F33" s="155"/>
      <c r="G33" s="155"/>
      <c r="H33" s="155"/>
      <c r="I33" s="155"/>
      <c r="J33" s="155"/>
      <c r="K33" s="155"/>
      <c r="L33" s="155"/>
      <c r="M33" s="155"/>
      <c r="N33" s="154"/>
      <c r="O33" s="154"/>
      <c r="P33" s="154"/>
      <c r="Q33" s="154"/>
      <c r="R33" s="155"/>
      <c r="S33" s="155"/>
      <c r="T33" s="155"/>
      <c r="U33" s="155"/>
      <c r="V33" s="155"/>
      <c r="W33" s="155"/>
      <c r="X33" s="155"/>
      <c r="Y33" s="155"/>
      <c r="Z33" s="145"/>
      <c r="AA33" s="145"/>
      <c r="AB33" s="145"/>
      <c r="AC33" s="145"/>
      <c r="AD33" s="145"/>
      <c r="AE33" s="145"/>
      <c r="AF33" s="145"/>
      <c r="AG33" s="145" t="s">
        <v>198</v>
      </c>
      <c r="AH33" s="145">
        <v>0</v>
      </c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5">
      <c r="A34" s="166">
        <v>16</v>
      </c>
      <c r="B34" s="167" t="s">
        <v>229</v>
      </c>
      <c r="C34" s="180" t="s">
        <v>230</v>
      </c>
      <c r="D34" s="168" t="s">
        <v>201</v>
      </c>
      <c r="E34" s="169">
        <f>E35</f>
        <v>14.2935</v>
      </c>
      <c r="F34" s="170"/>
      <c r="G34" s="171">
        <f>ROUND(E34*F34,2)</f>
        <v>0</v>
      </c>
      <c r="H34" s="156">
        <v>2783.83</v>
      </c>
      <c r="I34" s="155">
        <f>ROUND(E34*H34,2)</f>
        <v>39790.67</v>
      </c>
      <c r="J34" s="156">
        <v>321.17</v>
      </c>
      <c r="K34" s="155">
        <f>ROUND(E34*J34,2)</f>
        <v>4590.6400000000003</v>
      </c>
      <c r="L34" s="155">
        <v>21</v>
      </c>
      <c r="M34" s="155">
        <f>G34*(1+L34/100)</f>
        <v>0</v>
      </c>
      <c r="N34" s="154">
        <v>2.5249999999999999</v>
      </c>
      <c r="O34" s="154">
        <f>ROUND(E34*N34,2)</f>
        <v>36.090000000000003</v>
      </c>
      <c r="P34" s="154">
        <v>0</v>
      </c>
      <c r="Q34" s="154">
        <f>ROUND(E34*P34,2)</f>
        <v>0</v>
      </c>
      <c r="R34" s="155"/>
      <c r="S34" s="155" t="s">
        <v>999</v>
      </c>
      <c r="T34" s="155" t="s">
        <v>999</v>
      </c>
      <c r="U34" s="155">
        <v>0.48</v>
      </c>
      <c r="V34" s="155">
        <f>ROUND(E34*U34,2)</f>
        <v>6.86</v>
      </c>
      <c r="W34" s="155"/>
      <c r="X34" s="155" t="s">
        <v>146</v>
      </c>
      <c r="Y34" s="155" t="s">
        <v>147</v>
      </c>
      <c r="Z34" s="145"/>
      <c r="AA34" s="145"/>
      <c r="AB34" s="145"/>
      <c r="AC34" s="145"/>
      <c r="AD34" s="145"/>
      <c r="AE34" s="145"/>
      <c r="AF34" s="145"/>
      <c r="AG34" s="145" t="s">
        <v>148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2" x14ac:dyDescent="0.25">
      <c r="A35" s="152"/>
      <c r="B35" s="153"/>
      <c r="C35" s="187" t="s">
        <v>1027</v>
      </c>
      <c r="D35" s="184"/>
      <c r="E35" s="185">
        <f>0.78*0.5*(9.625+8.7)*2</f>
        <v>14.2935</v>
      </c>
      <c r="F35" s="155"/>
      <c r="G35" s="155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45"/>
      <c r="AA35" s="145"/>
      <c r="AB35" s="145"/>
      <c r="AC35" s="145"/>
      <c r="AD35" s="145"/>
      <c r="AE35" s="145"/>
      <c r="AF35" s="145"/>
      <c r="AG35" s="145" t="s">
        <v>198</v>
      </c>
      <c r="AH35" s="145">
        <v>0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ht="20.399999999999999" outlineLevel="1" x14ac:dyDescent="0.25">
      <c r="A36" s="166">
        <v>19</v>
      </c>
      <c r="B36" s="167" t="s">
        <v>231</v>
      </c>
      <c r="C36" s="180" t="s">
        <v>1032</v>
      </c>
      <c r="D36" s="168" t="s">
        <v>201</v>
      </c>
      <c r="E36" s="169">
        <v>6.74125</v>
      </c>
      <c r="F36" s="170"/>
      <c r="G36" s="171">
        <f>ROUND(E36*F36,2)</f>
        <v>0</v>
      </c>
      <c r="H36" s="156">
        <v>2648.64</v>
      </c>
      <c r="I36" s="155">
        <f>ROUND(E36*H36,2)</f>
        <v>17855.14</v>
      </c>
      <c r="J36" s="156">
        <v>526.36</v>
      </c>
      <c r="K36" s="155">
        <f>ROUND(E36*J36,2)</f>
        <v>3548.32</v>
      </c>
      <c r="L36" s="155">
        <v>21</v>
      </c>
      <c r="M36" s="155">
        <f>G36*(1+L36/100)</f>
        <v>0</v>
      </c>
      <c r="N36" s="154">
        <v>2.5251399999999999</v>
      </c>
      <c r="O36" s="154">
        <f>ROUND(E36*N36,2)</f>
        <v>17.02</v>
      </c>
      <c r="P36" s="154">
        <v>0</v>
      </c>
      <c r="Q36" s="154">
        <f>ROUND(E36*P36,2)</f>
        <v>0</v>
      </c>
      <c r="R36" s="155"/>
      <c r="S36" s="155" t="s">
        <v>999</v>
      </c>
      <c r="T36" s="155" t="s">
        <v>999</v>
      </c>
      <c r="U36" s="155">
        <v>1.17</v>
      </c>
      <c r="V36" s="155">
        <f>ROUND(E36*U36,2)</f>
        <v>7.89</v>
      </c>
      <c r="W36" s="155"/>
      <c r="X36" s="155" t="s">
        <v>146</v>
      </c>
      <c r="Y36" s="155" t="s">
        <v>147</v>
      </c>
      <c r="Z36" s="145"/>
      <c r="AA36" s="145"/>
      <c r="AB36" s="145"/>
      <c r="AC36" s="145"/>
      <c r="AD36" s="145"/>
      <c r="AE36" s="145"/>
      <c r="AF36" s="145"/>
      <c r="AG36" s="145" t="s">
        <v>148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2" x14ac:dyDescent="0.25">
      <c r="A37" s="152"/>
      <c r="B37" s="153"/>
      <c r="C37" s="187" t="s">
        <v>1036</v>
      </c>
      <c r="D37" s="184"/>
      <c r="E37" s="185">
        <f>0.1*8.625*7.7+1*1*0.1</f>
        <v>6.74125</v>
      </c>
      <c r="F37" s="155"/>
      <c r="G37" s="155"/>
      <c r="H37" s="155"/>
      <c r="I37" s="155"/>
      <c r="J37" s="155"/>
      <c r="K37" s="155"/>
      <c r="L37" s="155"/>
      <c r="M37" s="155"/>
      <c r="N37" s="154"/>
      <c r="O37" s="154"/>
      <c r="P37" s="154"/>
      <c r="Q37" s="154"/>
      <c r="R37" s="155"/>
      <c r="S37" s="155"/>
      <c r="T37" s="155"/>
      <c r="U37" s="155"/>
      <c r="V37" s="155"/>
      <c r="W37" s="155"/>
      <c r="X37" s="155"/>
      <c r="Y37" s="155"/>
      <c r="Z37" s="145"/>
      <c r="AA37" s="145"/>
      <c r="AB37" s="145"/>
      <c r="AC37" s="145"/>
      <c r="AD37" s="145"/>
      <c r="AE37" s="145"/>
      <c r="AF37" s="145"/>
      <c r="AG37" s="145" t="s">
        <v>198</v>
      </c>
      <c r="AH37" s="145">
        <v>0</v>
      </c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ht="20.399999999999999" outlineLevel="1" x14ac:dyDescent="0.25">
      <c r="A38" s="166">
        <v>20</v>
      </c>
      <c r="B38" s="167" t="s">
        <v>232</v>
      </c>
      <c r="C38" s="180" t="s">
        <v>233</v>
      </c>
      <c r="D38" s="168" t="s">
        <v>228</v>
      </c>
      <c r="E38" s="169">
        <v>0.22159999999999999</v>
      </c>
      <c r="F38" s="170"/>
      <c r="G38" s="171">
        <f>ROUND(E38*F38,2)</f>
        <v>0</v>
      </c>
      <c r="H38" s="156">
        <v>44950.99</v>
      </c>
      <c r="I38" s="155">
        <f>ROUND(E38*H38,2)</f>
        <v>9961.14</v>
      </c>
      <c r="J38" s="156">
        <v>7929.01</v>
      </c>
      <c r="K38" s="155">
        <f>ROUND(E38*J38,2)</f>
        <v>1757.07</v>
      </c>
      <c r="L38" s="155">
        <v>21</v>
      </c>
      <c r="M38" s="155">
        <f>G38*(1+L38/100)</f>
        <v>0</v>
      </c>
      <c r="N38" s="154">
        <v>1.0554399999999999</v>
      </c>
      <c r="O38" s="154">
        <f>ROUND(E38*N38,2)</f>
        <v>0.23</v>
      </c>
      <c r="P38" s="154">
        <v>0</v>
      </c>
      <c r="Q38" s="154">
        <f>ROUND(E38*P38,2)</f>
        <v>0</v>
      </c>
      <c r="R38" s="155"/>
      <c r="S38" s="155" t="s">
        <v>999</v>
      </c>
      <c r="T38" s="155" t="s">
        <v>999</v>
      </c>
      <c r="U38" s="155">
        <v>15.23</v>
      </c>
      <c r="V38" s="155">
        <f>ROUND(E38*U38,2)</f>
        <v>3.37</v>
      </c>
      <c r="W38" s="155"/>
      <c r="X38" s="155" t="s">
        <v>146</v>
      </c>
      <c r="Y38" s="155" t="s">
        <v>147</v>
      </c>
      <c r="Z38" s="145"/>
      <c r="AA38" s="145"/>
      <c r="AB38" s="145"/>
      <c r="AC38" s="145"/>
      <c r="AD38" s="145"/>
      <c r="AE38" s="145"/>
      <c r="AF38" s="145"/>
      <c r="AG38" s="145" t="s">
        <v>148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2" x14ac:dyDescent="0.25">
      <c r="A39" s="152"/>
      <c r="B39" s="153"/>
      <c r="C39" s="187" t="s">
        <v>234</v>
      </c>
      <c r="D39" s="184"/>
      <c r="E39" s="185">
        <v>0.22159999999999999</v>
      </c>
      <c r="F39" s="155"/>
      <c r="G39" s="155"/>
      <c r="H39" s="155"/>
      <c r="I39" s="155"/>
      <c r="J39" s="155"/>
      <c r="K39" s="155"/>
      <c r="L39" s="155"/>
      <c r="M39" s="155"/>
      <c r="N39" s="154"/>
      <c r="O39" s="154"/>
      <c r="P39" s="154"/>
      <c r="Q39" s="154"/>
      <c r="R39" s="155"/>
      <c r="S39" s="155"/>
      <c r="T39" s="155"/>
      <c r="U39" s="155"/>
      <c r="V39" s="155"/>
      <c r="W39" s="155"/>
      <c r="X39" s="155"/>
      <c r="Y39" s="155"/>
      <c r="Z39" s="145"/>
      <c r="AA39" s="145"/>
      <c r="AB39" s="145"/>
      <c r="AC39" s="145"/>
      <c r="AD39" s="145"/>
      <c r="AE39" s="145"/>
      <c r="AF39" s="145"/>
      <c r="AG39" s="145" t="s">
        <v>198</v>
      </c>
      <c r="AH39" s="145">
        <v>0</v>
      </c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x14ac:dyDescent="0.25">
      <c r="A40" s="159" t="s">
        <v>139</v>
      </c>
      <c r="B40" s="160" t="s">
        <v>67</v>
      </c>
      <c r="C40" s="178" t="s">
        <v>68</v>
      </c>
      <c r="D40" s="161"/>
      <c r="E40" s="162"/>
      <c r="F40" s="163"/>
      <c r="G40" s="164">
        <f>SUMIF(AG41:AG65,"&lt;&gt;NOR",G41:G65)</f>
        <v>0</v>
      </c>
      <c r="H40" s="158"/>
      <c r="I40" s="158">
        <f>SUM(I41:I65)</f>
        <v>153441.72</v>
      </c>
      <c r="J40" s="158"/>
      <c r="K40" s="158">
        <f>SUM(K41:K65)</f>
        <v>32231</v>
      </c>
      <c r="L40" s="158"/>
      <c r="M40" s="158">
        <f>SUM(M41:M65)</f>
        <v>0</v>
      </c>
      <c r="N40" s="157"/>
      <c r="O40" s="157">
        <f>SUM(O41:O65)</f>
        <v>25.304902585999997</v>
      </c>
      <c r="P40" s="157"/>
      <c r="Q40" s="157">
        <f>SUM(Q41:Q65)</f>
        <v>0</v>
      </c>
      <c r="R40" s="158"/>
      <c r="S40" s="158"/>
      <c r="T40" s="158"/>
      <c r="U40" s="158"/>
      <c r="V40" s="158">
        <f>SUM(V41:V65)</f>
        <v>36.799999999999997</v>
      </c>
      <c r="W40" s="158"/>
      <c r="X40" s="158"/>
      <c r="Y40" s="158"/>
      <c r="AG40" t="s">
        <v>140</v>
      </c>
    </row>
    <row r="41" spans="1:60" ht="20.399999999999999" outlineLevel="1" x14ac:dyDescent="0.25">
      <c r="A41" s="166">
        <v>21</v>
      </c>
      <c r="B41" s="167" t="s">
        <v>235</v>
      </c>
      <c r="C41" s="180" t="s">
        <v>236</v>
      </c>
      <c r="D41" s="168" t="s">
        <v>197</v>
      </c>
      <c r="E41" s="169">
        <v>23.2575</v>
      </c>
      <c r="F41" s="170"/>
      <c r="G41" s="171">
        <f>ROUND(E41*F41,2)</f>
        <v>0</v>
      </c>
      <c r="H41" s="156">
        <v>928.01</v>
      </c>
      <c r="I41" s="155">
        <f>ROUND(E41*H41,2)</f>
        <v>21583.19</v>
      </c>
      <c r="J41" s="156">
        <v>447.99</v>
      </c>
      <c r="K41" s="155">
        <f>ROUND(E41*J41,2)</f>
        <v>10419.129999999999</v>
      </c>
      <c r="L41" s="155">
        <v>21</v>
      </c>
      <c r="M41" s="155">
        <f>G41*(1+L41/100)</f>
        <v>0</v>
      </c>
      <c r="N41" s="154">
        <v>0.59209999999999996</v>
      </c>
      <c r="O41" s="154">
        <f>ROUND(E41*N41,2)</f>
        <v>13.77</v>
      </c>
      <c r="P41" s="154">
        <v>0</v>
      </c>
      <c r="Q41" s="154">
        <f>ROUND(E41*P41,2)</f>
        <v>0</v>
      </c>
      <c r="R41" s="155"/>
      <c r="S41" s="155" t="s">
        <v>999</v>
      </c>
      <c r="T41" s="155" t="s">
        <v>999</v>
      </c>
      <c r="U41" s="155">
        <v>0.83399999999999996</v>
      </c>
      <c r="V41" s="155">
        <f>ROUND(E41*U41,2)</f>
        <v>19.399999999999999</v>
      </c>
      <c r="W41" s="155"/>
      <c r="X41" s="155" t="s">
        <v>146</v>
      </c>
      <c r="Y41" s="155" t="s">
        <v>147</v>
      </c>
      <c r="Z41" s="145"/>
      <c r="AA41" s="145"/>
      <c r="AB41" s="145"/>
      <c r="AC41" s="145"/>
      <c r="AD41" s="145"/>
      <c r="AE41" s="145"/>
      <c r="AF41" s="145"/>
      <c r="AG41" s="145" t="s">
        <v>148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2" x14ac:dyDescent="0.25">
      <c r="A42" s="152"/>
      <c r="B42" s="153"/>
      <c r="C42" s="187" t="s">
        <v>237</v>
      </c>
      <c r="D42" s="184"/>
      <c r="E42" s="185">
        <v>23.2575</v>
      </c>
      <c r="F42" s="155"/>
      <c r="G42" s="155"/>
      <c r="H42" s="155"/>
      <c r="I42" s="155"/>
      <c r="J42" s="155"/>
      <c r="K42" s="155"/>
      <c r="L42" s="155"/>
      <c r="M42" s="155"/>
      <c r="N42" s="154"/>
      <c r="O42" s="154"/>
      <c r="P42" s="154"/>
      <c r="Q42" s="154"/>
      <c r="R42" s="155"/>
      <c r="S42" s="155"/>
      <c r="T42" s="155"/>
      <c r="U42" s="155"/>
      <c r="V42" s="155"/>
      <c r="W42" s="155"/>
      <c r="X42" s="155"/>
      <c r="Y42" s="155"/>
      <c r="Z42" s="145"/>
      <c r="AA42" s="145"/>
      <c r="AB42" s="145"/>
      <c r="AC42" s="145"/>
      <c r="AD42" s="145"/>
      <c r="AE42" s="145"/>
      <c r="AF42" s="145"/>
      <c r="AG42" s="145" t="s">
        <v>198</v>
      </c>
      <c r="AH42" s="145">
        <v>0</v>
      </c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ht="20.399999999999999" outlineLevel="2" x14ac:dyDescent="0.25">
      <c r="A43" s="241" t="s">
        <v>1042</v>
      </c>
      <c r="B43" s="237" t="s">
        <v>1037</v>
      </c>
      <c r="C43" s="238" t="s">
        <v>1038</v>
      </c>
      <c r="D43" s="239" t="s">
        <v>197</v>
      </c>
      <c r="E43" s="242">
        <f>(1+1)*2*1</f>
        <v>4</v>
      </c>
      <c r="F43" s="170"/>
      <c r="G43" s="171">
        <f t="shared" ref="G43:G44" si="1">ROUND(E43*F43,2)</f>
        <v>0</v>
      </c>
      <c r="H43" s="155"/>
      <c r="I43" s="155"/>
      <c r="J43" s="155"/>
      <c r="K43" s="155"/>
      <c r="L43" s="155"/>
      <c r="M43" s="155"/>
      <c r="N43" s="154">
        <v>0.37564999999999998</v>
      </c>
      <c r="O43" s="240">
        <f>ROUND(E43*N43,2)</f>
        <v>1.5</v>
      </c>
      <c r="P43" s="154">
        <v>0</v>
      </c>
      <c r="Q43" s="154">
        <v>0</v>
      </c>
      <c r="R43" s="155"/>
      <c r="S43" s="155" t="s">
        <v>1039</v>
      </c>
      <c r="T43" s="155" t="s">
        <v>1039</v>
      </c>
      <c r="U43" s="155"/>
      <c r="V43" s="155"/>
      <c r="W43" s="155"/>
      <c r="X43" s="155"/>
      <c r="Y43" s="15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ht="20.399999999999999" outlineLevel="2" x14ac:dyDescent="0.25">
      <c r="A44" s="236" t="s">
        <v>1043</v>
      </c>
      <c r="B44" s="237" t="s">
        <v>1040</v>
      </c>
      <c r="C44" s="238" t="s">
        <v>1041</v>
      </c>
      <c r="D44" s="239" t="s">
        <v>197</v>
      </c>
      <c r="E44" s="242">
        <f>(0.8+0.8)*2*1</f>
        <v>3.2</v>
      </c>
      <c r="F44" s="170"/>
      <c r="G44" s="171">
        <f t="shared" si="1"/>
        <v>0</v>
      </c>
      <c r="H44" s="155"/>
      <c r="I44" s="155"/>
      <c r="J44" s="155"/>
      <c r="K44" s="155"/>
      <c r="L44" s="155"/>
      <c r="M44" s="155"/>
      <c r="N44" s="154">
        <v>0.37564999999999998</v>
      </c>
      <c r="O44" s="240">
        <f>ROUND(E44*N44,2)</f>
        <v>1.2</v>
      </c>
      <c r="P44" s="154">
        <v>0</v>
      </c>
      <c r="Q44" s="154">
        <v>0</v>
      </c>
      <c r="R44" s="155"/>
      <c r="S44" s="155" t="s">
        <v>1039</v>
      </c>
      <c r="T44" s="155" t="s">
        <v>1039</v>
      </c>
      <c r="U44" s="155"/>
      <c r="V44" s="155"/>
      <c r="W44" s="155"/>
      <c r="X44" s="155"/>
      <c r="Y44" s="15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ht="20.399999999999999" outlineLevel="1" x14ac:dyDescent="0.25">
      <c r="A45" s="166">
        <v>22</v>
      </c>
      <c r="B45" s="167" t="s">
        <v>238</v>
      </c>
      <c r="C45" s="180" t="s">
        <v>239</v>
      </c>
      <c r="D45" s="168" t="s">
        <v>197</v>
      </c>
      <c r="E45" s="169">
        <v>29.408999999999999</v>
      </c>
      <c r="F45" s="170"/>
      <c r="G45" s="171">
        <f>ROUND(E45*F45,2)</f>
        <v>0</v>
      </c>
      <c r="H45" s="156">
        <v>2167.17</v>
      </c>
      <c r="I45" s="155">
        <f>ROUND(E45*H45,2)</f>
        <v>63734.3</v>
      </c>
      <c r="J45" s="156">
        <v>412.83</v>
      </c>
      <c r="K45" s="155">
        <f>ROUND(E45*J45,2)</f>
        <v>12140.92</v>
      </c>
      <c r="L45" s="155">
        <v>21</v>
      </c>
      <c r="M45" s="155">
        <f>G45*(1+L45/100)</f>
        <v>0</v>
      </c>
      <c r="N45" s="154">
        <v>0.21371999999999999</v>
      </c>
      <c r="O45" s="154">
        <f>ROUND(E45*N45,2)</f>
        <v>6.29</v>
      </c>
      <c r="P45" s="154">
        <v>0</v>
      </c>
      <c r="Q45" s="154">
        <f>ROUND(E45*P45,2)</f>
        <v>0</v>
      </c>
      <c r="R45" s="155"/>
      <c r="S45" s="155" t="s">
        <v>999</v>
      </c>
      <c r="T45" s="155" t="s">
        <v>999</v>
      </c>
      <c r="U45" s="155">
        <v>0</v>
      </c>
      <c r="V45" s="155">
        <f>ROUND(E45*U45,2)</f>
        <v>0</v>
      </c>
      <c r="W45" s="155"/>
      <c r="X45" s="155" t="s">
        <v>146</v>
      </c>
      <c r="Y45" s="155" t="s">
        <v>147</v>
      </c>
      <c r="Z45" s="145"/>
      <c r="AA45" s="145"/>
      <c r="AB45" s="145"/>
      <c r="AC45" s="145"/>
      <c r="AD45" s="145"/>
      <c r="AE45" s="145"/>
      <c r="AF45" s="145"/>
      <c r="AG45" s="145" t="s">
        <v>148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2" x14ac:dyDescent="0.25">
      <c r="A46" s="152"/>
      <c r="B46" s="153"/>
      <c r="C46" s="187" t="s">
        <v>240</v>
      </c>
      <c r="D46" s="184"/>
      <c r="E46" s="185">
        <v>23.774999999999999</v>
      </c>
      <c r="F46" s="155"/>
      <c r="G46" s="155"/>
      <c r="H46" s="155"/>
      <c r="I46" s="155"/>
      <c r="J46" s="155"/>
      <c r="K46" s="155"/>
      <c r="L46" s="155"/>
      <c r="M46" s="155"/>
      <c r="N46" s="154"/>
      <c r="O46" s="154"/>
      <c r="P46" s="154"/>
      <c r="Q46" s="154"/>
      <c r="R46" s="155"/>
      <c r="S46" s="155"/>
      <c r="T46" s="155"/>
      <c r="U46" s="155"/>
      <c r="V46" s="155"/>
      <c r="W46" s="155"/>
      <c r="X46" s="155"/>
      <c r="Y46" s="155"/>
      <c r="Z46" s="145"/>
      <c r="AA46" s="145"/>
      <c r="AB46" s="145"/>
      <c r="AC46" s="145"/>
      <c r="AD46" s="145"/>
      <c r="AE46" s="145"/>
      <c r="AF46" s="145"/>
      <c r="AG46" s="145" t="s">
        <v>198</v>
      </c>
      <c r="AH46" s="145">
        <v>0</v>
      </c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3" x14ac:dyDescent="0.25">
      <c r="A47" s="152"/>
      <c r="B47" s="153"/>
      <c r="C47" s="187" t="s">
        <v>241</v>
      </c>
      <c r="D47" s="184"/>
      <c r="E47" s="185">
        <v>2.0099999999999998</v>
      </c>
      <c r="F47" s="155"/>
      <c r="G47" s="155"/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5"/>
      <c r="AA47" s="145"/>
      <c r="AB47" s="145"/>
      <c r="AC47" s="145"/>
      <c r="AD47" s="145"/>
      <c r="AE47" s="145"/>
      <c r="AF47" s="145"/>
      <c r="AG47" s="145" t="s">
        <v>198</v>
      </c>
      <c r="AH47" s="145">
        <v>0</v>
      </c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3" x14ac:dyDescent="0.25">
      <c r="A48" s="152"/>
      <c r="B48" s="153"/>
      <c r="C48" s="187" t="s">
        <v>242</v>
      </c>
      <c r="D48" s="184"/>
      <c r="E48" s="185">
        <v>3.6240000000000001</v>
      </c>
      <c r="F48" s="155"/>
      <c r="G48" s="155"/>
      <c r="H48" s="155"/>
      <c r="I48" s="155"/>
      <c r="J48" s="155"/>
      <c r="K48" s="155"/>
      <c r="L48" s="155"/>
      <c r="M48" s="155"/>
      <c r="N48" s="154"/>
      <c r="O48" s="154"/>
      <c r="P48" s="154"/>
      <c r="Q48" s="154"/>
      <c r="R48" s="155"/>
      <c r="S48" s="155"/>
      <c r="T48" s="155"/>
      <c r="U48" s="155"/>
      <c r="V48" s="155"/>
      <c r="W48" s="155"/>
      <c r="X48" s="155"/>
      <c r="Y48" s="155"/>
      <c r="Z48" s="145"/>
      <c r="AA48" s="145"/>
      <c r="AB48" s="145"/>
      <c r="AC48" s="145"/>
      <c r="AD48" s="145"/>
      <c r="AE48" s="145"/>
      <c r="AF48" s="145"/>
      <c r="AG48" s="145" t="s">
        <v>198</v>
      </c>
      <c r="AH48" s="145">
        <v>0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ht="20.399999999999999" outlineLevel="1" x14ac:dyDescent="0.25">
      <c r="A49" s="166">
        <v>23</v>
      </c>
      <c r="B49" s="167" t="s">
        <v>243</v>
      </c>
      <c r="C49" s="180" t="s">
        <v>244</v>
      </c>
      <c r="D49" s="168" t="s">
        <v>197</v>
      </c>
      <c r="E49" s="169">
        <v>7.5949999999999998</v>
      </c>
      <c r="F49" s="170"/>
      <c r="G49" s="171">
        <f>ROUND(E49*F49,2)</f>
        <v>0</v>
      </c>
      <c r="H49" s="156">
        <v>1157.0999999999999</v>
      </c>
      <c r="I49" s="155">
        <f>ROUND(E49*H49,2)</f>
        <v>8788.17</v>
      </c>
      <c r="J49" s="156">
        <v>302.89999999999998</v>
      </c>
      <c r="K49" s="155">
        <f>ROUND(E49*J49,2)</f>
        <v>2300.5300000000002</v>
      </c>
      <c r="L49" s="155">
        <v>21</v>
      </c>
      <c r="M49" s="155">
        <f>G49*(1+L49/100)</f>
        <v>0</v>
      </c>
      <c r="N49" s="154">
        <v>0.1414</v>
      </c>
      <c r="O49" s="154">
        <f>ROUND(E49*N49,2)</f>
        <v>1.07</v>
      </c>
      <c r="P49" s="154">
        <v>0</v>
      </c>
      <c r="Q49" s="154">
        <f>ROUND(E49*P49,2)</f>
        <v>0</v>
      </c>
      <c r="R49" s="155"/>
      <c r="S49" s="155" t="s">
        <v>999</v>
      </c>
      <c r="T49" s="155" t="s">
        <v>999</v>
      </c>
      <c r="U49" s="155">
        <v>0.59</v>
      </c>
      <c r="V49" s="155">
        <f>ROUND(E49*U49,2)</f>
        <v>4.4800000000000004</v>
      </c>
      <c r="W49" s="155"/>
      <c r="X49" s="155" t="s">
        <v>146</v>
      </c>
      <c r="Y49" s="155" t="s">
        <v>147</v>
      </c>
      <c r="Z49" s="145"/>
      <c r="AA49" s="145"/>
      <c r="AB49" s="145"/>
      <c r="AC49" s="145"/>
      <c r="AD49" s="145"/>
      <c r="AE49" s="145"/>
      <c r="AF49" s="145"/>
      <c r="AG49" s="145" t="s">
        <v>148</v>
      </c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2" x14ac:dyDescent="0.25">
      <c r="A50" s="152"/>
      <c r="B50" s="153"/>
      <c r="C50" s="187" t="s">
        <v>245</v>
      </c>
      <c r="D50" s="184"/>
      <c r="E50" s="185">
        <v>7.5949999999999998</v>
      </c>
      <c r="F50" s="155"/>
      <c r="G50" s="155"/>
      <c r="H50" s="155"/>
      <c r="I50" s="155"/>
      <c r="J50" s="155"/>
      <c r="K50" s="155"/>
      <c r="L50" s="155"/>
      <c r="M50" s="155"/>
      <c r="N50" s="154"/>
      <c r="O50" s="154"/>
      <c r="P50" s="154"/>
      <c r="Q50" s="154"/>
      <c r="R50" s="155"/>
      <c r="S50" s="155"/>
      <c r="T50" s="155"/>
      <c r="U50" s="155"/>
      <c r="V50" s="155"/>
      <c r="W50" s="155"/>
      <c r="X50" s="155"/>
      <c r="Y50" s="155"/>
      <c r="Z50" s="145"/>
      <c r="AA50" s="145"/>
      <c r="AB50" s="145"/>
      <c r="AC50" s="145"/>
      <c r="AD50" s="145"/>
      <c r="AE50" s="145"/>
      <c r="AF50" s="145"/>
      <c r="AG50" s="145" t="s">
        <v>198</v>
      </c>
      <c r="AH50" s="145">
        <v>0</v>
      </c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ht="30.6" outlineLevel="1" x14ac:dyDescent="0.25">
      <c r="A51" s="172">
        <v>24</v>
      </c>
      <c r="B51" s="173" t="s">
        <v>246</v>
      </c>
      <c r="C51" s="179" t="s">
        <v>247</v>
      </c>
      <c r="D51" s="174" t="s">
        <v>161</v>
      </c>
      <c r="E51" s="175">
        <v>1</v>
      </c>
      <c r="F51" s="176"/>
      <c r="G51" s="177">
        <f>ROUND(E51*F51,2)</f>
        <v>0</v>
      </c>
      <c r="H51" s="156">
        <v>1409.87</v>
      </c>
      <c r="I51" s="155">
        <f>ROUND(E51*H51,2)</f>
        <v>1409.87</v>
      </c>
      <c r="J51" s="156">
        <v>127.13</v>
      </c>
      <c r="K51" s="155">
        <f>ROUND(E51*J51,2)</f>
        <v>127.13</v>
      </c>
      <c r="L51" s="155">
        <v>21</v>
      </c>
      <c r="M51" s="155">
        <f>G51*(1+L51/100)</f>
        <v>0</v>
      </c>
      <c r="N51" s="154">
        <v>3.9789999999999999E-2</v>
      </c>
      <c r="O51" s="154">
        <f>ROUND(E51*N51,2)</f>
        <v>0.04</v>
      </c>
      <c r="P51" s="154">
        <v>0</v>
      </c>
      <c r="Q51" s="154">
        <f>ROUND(E51*P51,2)</f>
        <v>0</v>
      </c>
      <c r="R51" s="155"/>
      <c r="S51" s="155" t="s">
        <v>999</v>
      </c>
      <c r="T51" s="155" t="s">
        <v>999</v>
      </c>
      <c r="U51" s="155">
        <v>0.24199999999999999</v>
      </c>
      <c r="V51" s="155">
        <f>ROUND(E51*U51,2)</f>
        <v>0.24</v>
      </c>
      <c r="W51" s="155"/>
      <c r="X51" s="155" t="s">
        <v>146</v>
      </c>
      <c r="Y51" s="155" t="s">
        <v>147</v>
      </c>
      <c r="Z51" s="145"/>
      <c r="AA51" s="145"/>
      <c r="AB51" s="145"/>
      <c r="AC51" s="145"/>
      <c r="AD51" s="145"/>
      <c r="AE51" s="145"/>
      <c r="AF51" s="145"/>
      <c r="AG51" s="145" t="s">
        <v>148</v>
      </c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ht="20.399999999999999" outlineLevel="1" x14ac:dyDescent="0.25">
      <c r="A52" s="166">
        <v>25</v>
      </c>
      <c r="B52" s="167" t="s">
        <v>248</v>
      </c>
      <c r="C52" s="180" t="s">
        <v>249</v>
      </c>
      <c r="D52" s="168" t="s">
        <v>197</v>
      </c>
      <c r="E52" s="169">
        <v>6.8925000000000001</v>
      </c>
      <c r="F52" s="170"/>
      <c r="G52" s="171">
        <f>ROUND(E52*F52,2)</f>
        <v>0</v>
      </c>
      <c r="H52" s="156">
        <v>989.53</v>
      </c>
      <c r="I52" s="155">
        <f>ROUND(E52*H52,2)</f>
        <v>6820.34</v>
      </c>
      <c r="J52" s="156">
        <v>286.47000000000003</v>
      </c>
      <c r="K52" s="155">
        <f>ROUND(E52*J52,2)</f>
        <v>1974.49</v>
      </c>
      <c r="L52" s="155">
        <v>21</v>
      </c>
      <c r="M52" s="155">
        <f>G52*(1+L52/100)</f>
        <v>0</v>
      </c>
      <c r="N52" s="154">
        <v>0.11219</v>
      </c>
      <c r="O52" s="154">
        <f>ROUND(E52*N52,2)</f>
        <v>0.77</v>
      </c>
      <c r="P52" s="154">
        <v>0</v>
      </c>
      <c r="Q52" s="154">
        <f>ROUND(E52*P52,2)</f>
        <v>0</v>
      </c>
      <c r="R52" s="155"/>
      <c r="S52" s="155" t="s">
        <v>999</v>
      </c>
      <c r="T52" s="155" t="s">
        <v>999</v>
      </c>
      <c r="U52" s="155">
        <v>0.55000000000000004</v>
      </c>
      <c r="V52" s="155">
        <f>ROUND(E52*U52,2)</f>
        <v>3.79</v>
      </c>
      <c r="W52" s="155"/>
      <c r="X52" s="155" t="s">
        <v>146</v>
      </c>
      <c r="Y52" s="155" t="s">
        <v>147</v>
      </c>
      <c r="Z52" s="145"/>
      <c r="AA52" s="145"/>
      <c r="AB52" s="145"/>
      <c r="AC52" s="145"/>
      <c r="AD52" s="145"/>
      <c r="AE52" s="145"/>
      <c r="AF52" s="145"/>
      <c r="AG52" s="145" t="s">
        <v>148</v>
      </c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2" x14ac:dyDescent="0.25">
      <c r="A53" s="152"/>
      <c r="B53" s="153"/>
      <c r="C53" s="187" t="s">
        <v>250</v>
      </c>
      <c r="D53" s="184"/>
      <c r="E53" s="185">
        <v>6.2534999999999998</v>
      </c>
      <c r="F53" s="155"/>
      <c r="G53" s="155"/>
      <c r="H53" s="155"/>
      <c r="I53" s="155"/>
      <c r="J53" s="155"/>
      <c r="K53" s="155"/>
      <c r="L53" s="155"/>
      <c r="M53" s="155"/>
      <c r="N53" s="154"/>
      <c r="O53" s="154"/>
      <c r="P53" s="154"/>
      <c r="Q53" s="154"/>
      <c r="R53" s="155"/>
      <c r="S53" s="155"/>
      <c r="T53" s="155"/>
      <c r="U53" s="155"/>
      <c r="V53" s="155"/>
      <c r="W53" s="155"/>
      <c r="X53" s="155"/>
      <c r="Y53" s="155"/>
      <c r="Z53" s="145"/>
      <c r="AA53" s="145"/>
      <c r="AB53" s="145"/>
      <c r="AC53" s="145"/>
      <c r="AD53" s="145"/>
      <c r="AE53" s="145"/>
      <c r="AF53" s="145"/>
      <c r="AG53" s="145" t="s">
        <v>198</v>
      </c>
      <c r="AH53" s="145">
        <v>0</v>
      </c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3" x14ac:dyDescent="0.25">
      <c r="A54" s="152"/>
      <c r="B54" s="153"/>
      <c r="C54" s="187" t="s">
        <v>251</v>
      </c>
      <c r="D54" s="184"/>
      <c r="E54" s="185">
        <v>0.63900000000000001</v>
      </c>
      <c r="F54" s="155"/>
      <c r="G54" s="155"/>
      <c r="H54" s="155"/>
      <c r="I54" s="155"/>
      <c r="J54" s="155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45"/>
      <c r="AA54" s="145"/>
      <c r="AB54" s="145"/>
      <c r="AC54" s="145"/>
      <c r="AD54" s="145"/>
      <c r="AE54" s="145"/>
      <c r="AF54" s="145"/>
      <c r="AG54" s="145" t="s">
        <v>198</v>
      </c>
      <c r="AH54" s="145">
        <v>0</v>
      </c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ht="20.399999999999999" outlineLevel="1" x14ac:dyDescent="0.25">
      <c r="A55" s="166">
        <v>26</v>
      </c>
      <c r="B55" s="167" t="s">
        <v>252</v>
      </c>
      <c r="C55" s="180" t="s">
        <v>253</v>
      </c>
      <c r="D55" s="168" t="s">
        <v>197</v>
      </c>
      <c r="E55" s="169">
        <v>2.1</v>
      </c>
      <c r="F55" s="170"/>
      <c r="G55" s="171">
        <f>ROUND(E55*F55,2)</f>
        <v>0</v>
      </c>
      <c r="H55" s="156">
        <v>940.62</v>
      </c>
      <c r="I55" s="155">
        <f>ROUND(E55*H55,2)</f>
        <v>1975.3</v>
      </c>
      <c r="J55" s="156">
        <v>423.38</v>
      </c>
      <c r="K55" s="155">
        <f>ROUND(E55*J55,2)</f>
        <v>889.1</v>
      </c>
      <c r="L55" s="155">
        <v>21</v>
      </c>
      <c r="M55" s="155">
        <f>G55*(1+L55/100)</f>
        <v>0</v>
      </c>
      <c r="N55" s="154">
        <v>0.1114</v>
      </c>
      <c r="O55" s="154">
        <f>ROUND(E55*N55,2)</f>
        <v>0.23</v>
      </c>
      <c r="P55" s="154">
        <v>0</v>
      </c>
      <c r="Q55" s="154">
        <f>ROUND(E55*P55,2)</f>
        <v>0</v>
      </c>
      <c r="R55" s="155"/>
      <c r="S55" s="155" t="s">
        <v>999</v>
      </c>
      <c r="T55" s="155" t="s">
        <v>999</v>
      </c>
      <c r="U55" s="155">
        <v>0.82</v>
      </c>
      <c r="V55" s="155">
        <f>ROUND(E55*U55,2)</f>
        <v>1.72</v>
      </c>
      <c r="W55" s="155"/>
      <c r="X55" s="155" t="s">
        <v>146</v>
      </c>
      <c r="Y55" s="155" t="s">
        <v>147</v>
      </c>
      <c r="Z55" s="145"/>
      <c r="AA55" s="145"/>
      <c r="AB55" s="145"/>
      <c r="AC55" s="145"/>
      <c r="AD55" s="145"/>
      <c r="AE55" s="145"/>
      <c r="AF55" s="145"/>
      <c r="AG55" s="145" t="s">
        <v>148</v>
      </c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2" x14ac:dyDescent="0.25">
      <c r="A56" s="152"/>
      <c r="B56" s="153"/>
      <c r="C56" s="187" t="s">
        <v>254</v>
      </c>
      <c r="D56" s="184"/>
      <c r="E56" s="185">
        <v>2.1</v>
      </c>
      <c r="F56" s="155"/>
      <c r="G56" s="155"/>
      <c r="H56" s="155"/>
      <c r="I56" s="155"/>
      <c r="J56" s="155"/>
      <c r="K56" s="155"/>
      <c r="L56" s="155"/>
      <c r="M56" s="155"/>
      <c r="N56" s="154"/>
      <c r="O56" s="154"/>
      <c r="P56" s="154"/>
      <c r="Q56" s="154"/>
      <c r="R56" s="155"/>
      <c r="S56" s="155"/>
      <c r="T56" s="155"/>
      <c r="U56" s="155"/>
      <c r="V56" s="155"/>
      <c r="W56" s="155"/>
      <c r="X56" s="155"/>
      <c r="Y56" s="155"/>
      <c r="Z56" s="145"/>
      <c r="AA56" s="145"/>
      <c r="AB56" s="145"/>
      <c r="AC56" s="145"/>
      <c r="AD56" s="145"/>
      <c r="AE56" s="145"/>
      <c r="AF56" s="145"/>
      <c r="AG56" s="145" t="s">
        <v>198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5">
      <c r="A57" s="166">
        <v>27</v>
      </c>
      <c r="B57" s="167" t="s">
        <v>255</v>
      </c>
      <c r="C57" s="180" t="s">
        <v>256</v>
      </c>
      <c r="D57" s="168" t="s">
        <v>228</v>
      </c>
      <c r="E57" s="169">
        <v>0.25090000000000001</v>
      </c>
      <c r="F57" s="170"/>
      <c r="G57" s="171">
        <f>ROUND(E57*F57,2)</f>
        <v>0</v>
      </c>
      <c r="H57" s="156">
        <v>24.1</v>
      </c>
      <c r="I57" s="155">
        <f>ROUND(E57*H57,2)</f>
        <v>6.05</v>
      </c>
      <c r="J57" s="156">
        <v>12505.9</v>
      </c>
      <c r="K57" s="155">
        <f>ROUND(E57*J57,2)</f>
        <v>3137.73</v>
      </c>
      <c r="L57" s="155">
        <v>21</v>
      </c>
      <c r="M57" s="155">
        <f>G57*(1+L57/100)</f>
        <v>0</v>
      </c>
      <c r="N57" s="154">
        <v>1.9539999999999998E-2</v>
      </c>
      <c r="O57" s="154">
        <f>N57*E57</f>
        <v>4.9025859999999996E-3</v>
      </c>
      <c r="P57" s="154">
        <v>0</v>
      </c>
      <c r="Q57" s="154">
        <f>ROUND(E57*P57,2)</f>
        <v>0</v>
      </c>
      <c r="R57" s="155"/>
      <c r="S57" s="155" t="s">
        <v>999</v>
      </c>
      <c r="T57" s="155" t="s">
        <v>999</v>
      </c>
      <c r="U57" s="155">
        <v>18.18</v>
      </c>
      <c r="V57" s="155">
        <f>ROUND(E57*U57,2)</f>
        <v>4.5599999999999996</v>
      </c>
      <c r="W57" s="155"/>
      <c r="X57" s="155" t="s">
        <v>146</v>
      </c>
      <c r="Y57" s="155" t="s">
        <v>147</v>
      </c>
      <c r="Z57" s="145"/>
      <c r="AA57" s="145"/>
      <c r="AB57" s="145"/>
      <c r="AC57" s="145"/>
      <c r="AD57" s="145"/>
      <c r="AE57" s="145"/>
      <c r="AF57" s="145"/>
      <c r="AG57" s="145" t="s">
        <v>148</v>
      </c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2" x14ac:dyDescent="0.25">
      <c r="A58" s="152"/>
      <c r="B58" s="153"/>
      <c r="C58" s="187" t="s">
        <v>257</v>
      </c>
      <c r="D58" s="184"/>
      <c r="E58" s="185">
        <v>0.23519999999999999</v>
      </c>
      <c r="F58" s="155"/>
      <c r="G58" s="155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5"/>
      <c r="AA58" s="145"/>
      <c r="AB58" s="145"/>
      <c r="AC58" s="145"/>
      <c r="AD58" s="145"/>
      <c r="AE58" s="145"/>
      <c r="AF58" s="145"/>
      <c r="AG58" s="145" t="s">
        <v>198</v>
      </c>
      <c r="AH58" s="145">
        <v>0</v>
      </c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3" x14ac:dyDescent="0.25">
      <c r="A59" s="152"/>
      <c r="B59" s="153"/>
      <c r="C59" s="187" t="s">
        <v>258</v>
      </c>
      <c r="D59" s="184"/>
      <c r="E59" s="185">
        <v>1.5699999999999999E-2</v>
      </c>
      <c r="F59" s="155"/>
      <c r="G59" s="155"/>
      <c r="H59" s="155"/>
      <c r="I59" s="155"/>
      <c r="J59" s="155"/>
      <c r="K59" s="155"/>
      <c r="L59" s="155"/>
      <c r="M59" s="155"/>
      <c r="N59" s="154"/>
      <c r="O59" s="154"/>
      <c r="P59" s="154"/>
      <c r="Q59" s="154"/>
      <c r="R59" s="155"/>
      <c r="S59" s="155"/>
      <c r="T59" s="155"/>
      <c r="U59" s="155"/>
      <c r="V59" s="155"/>
      <c r="W59" s="155"/>
      <c r="X59" s="155"/>
      <c r="Y59" s="155"/>
      <c r="Z59" s="145"/>
      <c r="AA59" s="145"/>
      <c r="AB59" s="145"/>
      <c r="AC59" s="145"/>
      <c r="AD59" s="145"/>
      <c r="AE59" s="145"/>
      <c r="AF59" s="145"/>
      <c r="AG59" s="145" t="s">
        <v>198</v>
      </c>
      <c r="AH59" s="145">
        <v>0</v>
      </c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ht="20.399999999999999" outlineLevel="1" x14ac:dyDescent="0.25">
      <c r="A60" s="166">
        <v>28</v>
      </c>
      <c r="B60" s="167" t="s">
        <v>259</v>
      </c>
      <c r="C60" s="180" t="s">
        <v>260</v>
      </c>
      <c r="D60" s="168" t="s">
        <v>192</v>
      </c>
      <c r="E60" s="169">
        <v>16.100000000000001</v>
      </c>
      <c r="F60" s="170"/>
      <c r="G60" s="171">
        <f>ROUND(E60*F60,2)</f>
        <v>0</v>
      </c>
      <c r="H60" s="156">
        <v>2955.01</v>
      </c>
      <c r="I60" s="155">
        <f>ROUND(E60*H60,2)</f>
        <v>47575.66</v>
      </c>
      <c r="J60" s="156">
        <v>0</v>
      </c>
      <c r="K60" s="155">
        <f>ROUND(E60*J60,2)</f>
        <v>0</v>
      </c>
      <c r="L60" s="155">
        <v>21</v>
      </c>
      <c r="M60" s="155">
        <f>G60*(1+L60/100)</f>
        <v>0</v>
      </c>
      <c r="N60" s="154">
        <v>2.5770000000000001E-2</v>
      </c>
      <c r="O60" s="154">
        <f>ROUND(E60*N60,2)</f>
        <v>0.41</v>
      </c>
      <c r="P60" s="154">
        <v>0</v>
      </c>
      <c r="Q60" s="154">
        <f>ROUND(E60*P60,2)</f>
        <v>0</v>
      </c>
      <c r="R60" s="155"/>
      <c r="S60" s="155" t="s">
        <v>144</v>
      </c>
      <c r="T60" s="155" t="s">
        <v>145</v>
      </c>
      <c r="U60" s="155">
        <v>0</v>
      </c>
      <c r="V60" s="155">
        <f>ROUND(E60*U60,2)</f>
        <v>0</v>
      </c>
      <c r="W60" s="155"/>
      <c r="X60" s="155" t="s">
        <v>261</v>
      </c>
      <c r="Y60" s="155" t="s">
        <v>147</v>
      </c>
      <c r="Z60" s="145"/>
      <c r="AA60" s="145"/>
      <c r="AB60" s="145"/>
      <c r="AC60" s="145"/>
      <c r="AD60" s="145"/>
      <c r="AE60" s="145"/>
      <c r="AF60" s="145"/>
      <c r="AG60" s="145" t="s">
        <v>262</v>
      </c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2" x14ac:dyDescent="0.25">
      <c r="A61" s="152"/>
      <c r="B61" s="153"/>
      <c r="C61" s="187" t="s">
        <v>263</v>
      </c>
      <c r="D61" s="184"/>
      <c r="E61" s="185">
        <v>16.100000000000001</v>
      </c>
      <c r="F61" s="155"/>
      <c r="G61" s="155"/>
      <c r="H61" s="155"/>
      <c r="I61" s="155"/>
      <c r="J61" s="155"/>
      <c r="K61" s="155"/>
      <c r="L61" s="155"/>
      <c r="M61" s="155"/>
      <c r="N61" s="154"/>
      <c r="O61" s="154"/>
      <c r="P61" s="154"/>
      <c r="Q61" s="154"/>
      <c r="R61" s="155"/>
      <c r="S61" s="155"/>
      <c r="T61" s="155"/>
      <c r="U61" s="155"/>
      <c r="V61" s="155"/>
      <c r="W61" s="155"/>
      <c r="X61" s="155"/>
      <c r="Y61" s="155"/>
      <c r="Z61" s="145"/>
      <c r="AA61" s="145"/>
      <c r="AB61" s="145"/>
      <c r="AC61" s="145"/>
      <c r="AD61" s="145"/>
      <c r="AE61" s="145"/>
      <c r="AF61" s="145"/>
      <c r="AG61" s="145" t="s">
        <v>198</v>
      </c>
      <c r="AH61" s="145">
        <v>0</v>
      </c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5">
      <c r="A62" s="166">
        <v>29</v>
      </c>
      <c r="B62" s="167" t="s">
        <v>264</v>
      </c>
      <c r="C62" s="180" t="s">
        <v>265</v>
      </c>
      <c r="D62" s="168" t="s">
        <v>228</v>
      </c>
      <c r="E62" s="169">
        <v>1.806E-2</v>
      </c>
      <c r="F62" s="170"/>
      <c r="G62" s="171">
        <f>ROUND(E62*F62,2)</f>
        <v>0</v>
      </c>
      <c r="H62" s="156">
        <v>38600</v>
      </c>
      <c r="I62" s="155">
        <f>ROUND(E62*H62,2)</f>
        <v>697.12</v>
      </c>
      <c r="J62" s="156">
        <v>0</v>
      </c>
      <c r="K62" s="155">
        <f>ROUND(E62*J62,2)</f>
        <v>0</v>
      </c>
      <c r="L62" s="155">
        <v>21</v>
      </c>
      <c r="M62" s="155">
        <f>G62*(1+L62/100)</f>
        <v>0</v>
      </c>
      <c r="N62" s="154">
        <v>1</v>
      </c>
      <c r="O62" s="154">
        <f>ROUND(E62*N62,2)</f>
        <v>0.02</v>
      </c>
      <c r="P62" s="154">
        <v>0</v>
      </c>
      <c r="Q62" s="154">
        <f>ROUND(E62*P62,2)</f>
        <v>0</v>
      </c>
      <c r="R62" s="155" t="s">
        <v>266</v>
      </c>
      <c r="S62" s="155" t="s">
        <v>999</v>
      </c>
      <c r="T62" s="155" t="s">
        <v>999</v>
      </c>
      <c r="U62" s="155">
        <v>0</v>
      </c>
      <c r="V62" s="155">
        <f>ROUND(E62*U62,2)</f>
        <v>0</v>
      </c>
      <c r="W62" s="155"/>
      <c r="X62" s="155" t="s">
        <v>261</v>
      </c>
      <c r="Y62" s="155" t="s">
        <v>147</v>
      </c>
      <c r="Z62" s="145"/>
      <c r="AA62" s="145"/>
      <c r="AB62" s="145"/>
      <c r="AC62" s="145"/>
      <c r="AD62" s="145"/>
      <c r="AE62" s="145"/>
      <c r="AF62" s="145"/>
      <c r="AG62" s="145" t="s">
        <v>262</v>
      </c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2" x14ac:dyDescent="0.25">
      <c r="A63" s="152"/>
      <c r="B63" s="153"/>
      <c r="C63" s="187" t="s">
        <v>267</v>
      </c>
      <c r="D63" s="184"/>
      <c r="E63" s="185">
        <v>1.806E-2</v>
      </c>
      <c r="F63" s="155"/>
      <c r="G63" s="155"/>
      <c r="H63" s="155"/>
      <c r="I63" s="155"/>
      <c r="J63" s="155"/>
      <c r="K63" s="155"/>
      <c r="L63" s="155"/>
      <c r="M63" s="155"/>
      <c r="N63" s="154"/>
      <c r="O63" s="154"/>
      <c r="P63" s="154"/>
      <c r="Q63" s="154"/>
      <c r="R63" s="155"/>
      <c r="S63" s="155"/>
      <c r="T63" s="155"/>
      <c r="U63" s="155"/>
      <c r="V63" s="155"/>
      <c r="W63" s="155"/>
      <c r="X63" s="155"/>
      <c r="Y63" s="155"/>
      <c r="Z63" s="145"/>
      <c r="AA63" s="145"/>
      <c r="AB63" s="145"/>
      <c r="AC63" s="145"/>
      <c r="AD63" s="145"/>
      <c r="AE63" s="145"/>
      <c r="AF63" s="145"/>
      <c r="AG63" s="145" t="s">
        <v>198</v>
      </c>
      <c r="AH63" s="145">
        <v>0</v>
      </c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5">
      <c r="A64" s="166">
        <v>30</v>
      </c>
      <c r="B64" s="167" t="s">
        <v>268</v>
      </c>
      <c r="C64" s="180" t="s">
        <v>269</v>
      </c>
      <c r="D64" s="168" t="s">
        <v>192</v>
      </c>
      <c r="E64" s="169">
        <v>17.375</v>
      </c>
      <c r="F64" s="170"/>
      <c r="G64" s="171">
        <f>ROUND(E64*F64,2)</f>
        <v>0</v>
      </c>
      <c r="H64" s="156">
        <v>49.02</v>
      </c>
      <c r="I64" s="155">
        <f>ROUND(E64*H64,2)</f>
        <v>851.72</v>
      </c>
      <c r="J64" s="156">
        <v>71.48</v>
      </c>
      <c r="K64" s="155">
        <f>ROUND(E64*J64,2)</f>
        <v>1241.97</v>
      </c>
      <c r="L64" s="155">
        <v>21</v>
      </c>
      <c r="M64" s="155">
        <f>G64*(1+L64/100)</f>
        <v>0</v>
      </c>
      <c r="N64" s="154">
        <v>2.7999999999999998E-4</v>
      </c>
      <c r="O64" s="154">
        <f>ROUND(E64*N64,2)</f>
        <v>0</v>
      </c>
      <c r="P64" s="154">
        <v>0</v>
      </c>
      <c r="Q64" s="154">
        <f>ROUND(E64*P64,2)</f>
        <v>0</v>
      </c>
      <c r="R64" s="155"/>
      <c r="S64" s="155" t="s">
        <v>999</v>
      </c>
      <c r="T64" s="155" t="s">
        <v>999</v>
      </c>
      <c r="U64" s="155">
        <v>0.15</v>
      </c>
      <c r="V64" s="155">
        <f>ROUND(E64*U64,2)</f>
        <v>2.61</v>
      </c>
      <c r="W64" s="155"/>
      <c r="X64" s="155" t="s">
        <v>146</v>
      </c>
      <c r="Y64" s="155" t="s">
        <v>147</v>
      </c>
      <c r="Z64" s="145"/>
      <c r="AA64" s="145"/>
      <c r="AB64" s="145"/>
      <c r="AC64" s="145"/>
      <c r="AD64" s="145"/>
      <c r="AE64" s="145"/>
      <c r="AF64" s="145"/>
      <c r="AG64" s="145" t="s">
        <v>148</v>
      </c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2" x14ac:dyDescent="0.25">
      <c r="A65" s="152"/>
      <c r="B65" s="153"/>
      <c r="C65" s="187" t="s">
        <v>270</v>
      </c>
      <c r="D65" s="184"/>
      <c r="E65" s="185">
        <v>17.375</v>
      </c>
      <c r="F65" s="155"/>
      <c r="G65" s="155"/>
      <c r="H65" s="155"/>
      <c r="I65" s="155"/>
      <c r="J65" s="155"/>
      <c r="K65" s="155"/>
      <c r="L65" s="155"/>
      <c r="M65" s="155"/>
      <c r="N65" s="154"/>
      <c r="O65" s="154"/>
      <c r="P65" s="154"/>
      <c r="Q65" s="154"/>
      <c r="R65" s="155"/>
      <c r="S65" s="155"/>
      <c r="T65" s="155"/>
      <c r="U65" s="155"/>
      <c r="V65" s="155"/>
      <c r="W65" s="155"/>
      <c r="X65" s="155"/>
      <c r="Y65" s="155"/>
      <c r="Z65" s="145"/>
      <c r="AA65" s="145"/>
      <c r="AB65" s="145"/>
      <c r="AC65" s="145"/>
      <c r="AD65" s="145"/>
      <c r="AE65" s="145"/>
      <c r="AF65" s="145"/>
      <c r="AG65" s="145" t="s">
        <v>198</v>
      </c>
      <c r="AH65" s="145">
        <v>0</v>
      </c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x14ac:dyDescent="0.25">
      <c r="A66" s="159" t="s">
        <v>139</v>
      </c>
      <c r="B66" s="160" t="s">
        <v>69</v>
      </c>
      <c r="C66" s="178" t="s">
        <v>70</v>
      </c>
      <c r="D66" s="161"/>
      <c r="E66" s="162"/>
      <c r="F66" s="163"/>
      <c r="G66" s="164">
        <f>SUMIF(AG67:AG84,"&lt;&gt;NOR",G67:G84)</f>
        <v>0</v>
      </c>
      <c r="H66" s="158"/>
      <c r="I66" s="158">
        <f>SUM(I67:I84)</f>
        <v>157744.68999999997</v>
      </c>
      <c r="J66" s="158"/>
      <c r="K66" s="158">
        <f>SUM(K67:K84)</f>
        <v>53982.46</v>
      </c>
      <c r="L66" s="158"/>
      <c r="M66" s="158">
        <f>SUM(M67:M84)</f>
        <v>0</v>
      </c>
      <c r="N66" s="157"/>
      <c r="O66" s="157">
        <f>SUM(O67:O84)</f>
        <v>9.7799999999999994</v>
      </c>
      <c r="P66" s="157"/>
      <c r="Q66" s="157">
        <f>SUM(Q67:Q84)</f>
        <v>0</v>
      </c>
      <c r="R66" s="158"/>
      <c r="S66" s="158"/>
      <c r="T66" s="158"/>
      <c r="U66" s="158"/>
      <c r="V66" s="158">
        <f>SUM(V67:V84)</f>
        <v>96</v>
      </c>
      <c r="W66" s="158"/>
      <c r="X66" s="158"/>
      <c r="Y66" s="158"/>
      <c r="AG66" t="s">
        <v>140</v>
      </c>
    </row>
    <row r="67" spans="1:60" outlineLevel="1" x14ac:dyDescent="0.25">
      <c r="A67" s="166">
        <v>31</v>
      </c>
      <c r="B67" s="167" t="s">
        <v>271</v>
      </c>
      <c r="C67" s="180" t="s">
        <v>272</v>
      </c>
      <c r="D67" s="168" t="s">
        <v>228</v>
      </c>
      <c r="E67" s="169">
        <v>2.4699</v>
      </c>
      <c r="F67" s="170"/>
      <c r="G67" s="171">
        <f>ROUND(E67*F67,2)</f>
        <v>0</v>
      </c>
      <c r="H67" s="156">
        <v>18.86</v>
      </c>
      <c r="I67" s="155">
        <f>ROUND(E67*H67,2)</f>
        <v>46.58</v>
      </c>
      <c r="J67" s="156">
        <v>10571.14</v>
      </c>
      <c r="K67" s="155">
        <f>ROUND(E67*J67,2)</f>
        <v>26109.66</v>
      </c>
      <c r="L67" s="155">
        <v>21</v>
      </c>
      <c r="M67" s="155">
        <f>G67*(1+L67/100)</f>
        <v>0</v>
      </c>
      <c r="N67" s="154">
        <v>1.188E-2</v>
      </c>
      <c r="O67" s="154">
        <f>ROUND(E67*N67,2)</f>
        <v>0.03</v>
      </c>
      <c r="P67" s="154">
        <v>0</v>
      </c>
      <c r="Q67" s="154">
        <f>ROUND(E67*P67,2)</f>
        <v>0</v>
      </c>
      <c r="R67" s="155"/>
      <c r="S67" s="155" t="s">
        <v>999</v>
      </c>
      <c r="T67" s="155" t="s">
        <v>999</v>
      </c>
      <c r="U67" s="155">
        <v>15.43</v>
      </c>
      <c r="V67" s="155">
        <f>ROUND(E67*U67,2)</f>
        <v>38.11</v>
      </c>
      <c r="W67" s="155"/>
      <c r="X67" s="155" t="s">
        <v>146</v>
      </c>
      <c r="Y67" s="155" t="s">
        <v>147</v>
      </c>
      <c r="Z67" s="145"/>
      <c r="AA67" s="145"/>
      <c r="AB67" s="145"/>
      <c r="AC67" s="145"/>
      <c r="AD67" s="145"/>
      <c r="AE67" s="145"/>
      <c r="AF67" s="145"/>
      <c r="AG67" s="145" t="s">
        <v>148</v>
      </c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2" x14ac:dyDescent="0.25">
      <c r="A68" s="152"/>
      <c r="B68" s="153"/>
      <c r="C68" s="187" t="s">
        <v>273</v>
      </c>
      <c r="D68" s="184"/>
      <c r="E68" s="185">
        <v>2.4699</v>
      </c>
      <c r="F68" s="155"/>
      <c r="G68" s="155"/>
      <c r="H68" s="155"/>
      <c r="I68" s="155"/>
      <c r="J68" s="155"/>
      <c r="K68" s="155"/>
      <c r="L68" s="155"/>
      <c r="M68" s="155"/>
      <c r="N68" s="154"/>
      <c r="O68" s="154"/>
      <c r="P68" s="154"/>
      <c r="Q68" s="154"/>
      <c r="R68" s="155"/>
      <c r="S68" s="155"/>
      <c r="T68" s="155"/>
      <c r="U68" s="155"/>
      <c r="V68" s="155"/>
      <c r="W68" s="155"/>
      <c r="X68" s="155"/>
      <c r="Y68" s="155"/>
      <c r="Z68" s="145"/>
      <c r="AA68" s="145"/>
      <c r="AB68" s="145"/>
      <c r="AC68" s="145"/>
      <c r="AD68" s="145"/>
      <c r="AE68" s="145"/>
      <c r="AF68" s="145"/>
      <c r="AG68" s="145" t="s">
        <v>198</v>
      </c>
      <c r="AH68" s="145">
        <v>0</v>
      </c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5">
      <c r="A69" s="166">
        <v>32</v>
      </c>
      <c r="B69" s="167" t="s">
        <v>274</v>
      </c>
      <c r="C69" s="180" t="s">
        <v>275</v>
      </c>
      <c r="D69" s="168" t="s">
        <v>228</v>
      </c>
      <c r="E69" s="169">
        <v>2.82348</v>
      </c>
      <c r="F69" s="170"/>
      <c r="G69" s="171">
        <f>ROUND(E69*F69,2)</f>
        <v>0</v>
      </c>
      <c r="H69" s="156">
        <v>47810</v>
      </c>
      <c r="I69" s="155">
        <f>ROUND(E69*H69,2)</f>
        <v>134990.57999999999</v>
      </c>
      <c r="J69" s="156">
        <v>0</v>
      </c>
      <c r="K69" s="155">
        <f>ROUND(E69*J69,2)</f>
        <v>0</v>
      </c>
      <c r="L69" s="155">
        <v>21</v>
      </c>
      <c r="M69" s="155">
        <f>G69*(1+L69/100)</f>
        <v>0</v>
      </c>
      <c r="N69" s="154">
        <v>1</v>
      </c>
      <c r="O69" s="154">
        <f>ROUND(E69*N69,2)</f>
        <v>2.82</v>
      </c>
      <c r="P69" s="154">
        <v>0</v>
      </c>
      <c r="Q69" s="154">
        <f>ROUND(E69*P69,2)</f>
        <v>0</v>
      </c>
      <c r="R69" s="155" t="s">
        <v>266</v>
      </c>
      <c r="S69" s="155" t="s">
        <v>999</v>
      </c>
      <c r="T69" s="155" t="s">
        <v>999</v>
      </c>
      <c r="U69" s="155">
        <v>0</v>
      </c>
      <c r="V69" s="155">
        <f>ROUND(E69*U69,2)</f>
        <v>0</v>
      </c>
      <c r="W69" s="155"/>
      <c r="X69" s="155" t="s">
        <v>261</v>
      </c>
      <c r="Y69" s="155" t="s">
        <v>147</v>
      </c>
      <c r="Z69" s="145"/>
      <c r="AA69" s="145"/>
      <c r="AB69" s="145"/>
      <c r="AC69" s="145"/>
      <c r="AD69" s="145"/>
      <c r="AE69" s="145"/>
      <c r="AF69" s="145"/>
      <c r="AG69" s="145" t="s">
        <v>262</v>
      </c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2" x14ac:dyDescent="0.25">
      <c r="A70" s="152"/>
      <c r="B70" s="153"/>
      <c r="C70" s="187" t="s">
        <v>276</v>
      </c>
      <c r="D70" s="184"/>
      <c r="E70" s="185">
        <v>2.82348</v>
      </c>
      <c r="F70" s="155"/>
      <c r="G70" s="155"/>
      <c r="H70" s="155"/>
      <c r="I70" s="155"/>
      <c r="J70" s="155"/>
      <c r="K70" s="155"/>
      <c r="L70" s="155"/>
      <c r="M70" s="155"/>
      <c r="N70" s="154"/>
      <c r="O70" s="154"/>
      <c r="P70" s="154"/>
      <c r="Q70" s="154"/>
      <c r="R70" s="155"/>
      <c r="S70" s="155"/>
      <c r="T70" s="155"/>
      <c r="U70" s="155"/>
      <c r="V70" s="155"/>
      <c r="W70" s="155"/>
      <c r="X70" s="155"/>
      <c r="Y70" s="155"/>
      <c r="Z70" s="145"/>
      <c r="AA70" s="145"/>
      <c r="AB70" s="145"/>
      <c r="AC70" s="145"/>
      <c r="AD70" s="145"/>
      <c r="AE70" s="145"/>
      <c r="AF70" s="145"/>
      <c r="AG70" s="145" t="s">
        <v>198</v>
      </c>
      <c r="AH70" s="145">
        <v>0</v>
      </c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5">
      <c r="A71" s="166">
        <v>33</v>
      </c>
      <c r="B71" s="167" t="s">
        <v>277</v>
      </c>
      <c r="C71" s="180" t="s">
        <v>278</v>
      </c>
      <c r="D71" s="168" t="s">
        <v>228</v>
      </c>
      <c r="E71" s="169">
        <v>1.6910000000000001E-2</v>
      </c>
      <c r="F71" s="170"/>
      <c r="G71" s="171">
        <f>ROUND(E71*F71,2)</f>
        <v>0</v>
      </c>
      <c r="H71" s="156">
        <v>38600</v>
      </c>
      <c r="I71" s="155">
        <f>ROUND(E71*H71,2)</f>
        <v>652.73</v>
      </c>
      <c r="J71" s="156">
        <v>0</v>
      </c>
      <c r="K71" s="155">
        <f>ROUND(E71*J71,2)</f>
        <v>0</v>
      </c>
      <c r="L71" s="155">
        <v>21</v>
      </c>
      <c r="M71" s="155">
        <f>G71*(1+L71/100)</f>
        <v>0</v>
      </c>
      <c r="N71" s="154">
        <v>1</v>
      </c>
      <c r="O71" s="154">
        <f>ROUND(E71*N71,2)</f>
        <v>0.02</v>
      </c>
      <c r="P71" s="154">
        <v>0</v>
      </c>
      <c r="Q71" s="154">
        <f>ROUND(E71*P71,2)</f>
        <v>0</v>
      </c>
      <c r="R71" s="155" t="s">
        <v>266</v>
      </c>
      <c r="S71" s="155" t="s">
        <v>999</v>
      </c>
      <c r="T71" s="155" t="s">
        <v>999</v>
      </c>
      <c r="U71" s="155">
        <v>0</v>
      </c>
      <c r="V71" s="155">
        <f>ROUND(E71*U71,2)</f>
        <v>0</v>
      </c>
      <c r="W71" s="155"/>
      <c r="X71" s="155" t="s">
        <v>261</v>
      </c>
      <c r="Y71" s="155" t="s">
        <v>147</v>
      </c>
      <c r="Z71" s="145"/>
      <c r="AA71" s="145"/>
      <c r="AB71" s="145"/>
      <c r="AC71" s="145"/>
      <c r="AD71" s="145"/>
      <c r="AE71" s="145"/>
      <c r="AF71" s="145"/>
      <c r="AG71" s="145" t="s">
        <v>262</v>
      </c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2" x14ac:dyDescent="0.25">
      <c r="A72" s="152"/>
      <c r="B72" s="153"/>
      <c r="C72" s="187" t="s">
        <v>279</v>
      </c>
      <c r="D72" s="184"/>
      <c r="E72" s="185">
        <v>1.6910000000000001E-2</v>
      </c>
      <c r="F72" s="155"/>
      <c r="G72" s="155"/>
      <c r="H72" s="155"/>
      <c r="I72" s="155"/>
      <c r="J72" s="155"/>
      <c r="K72" s="155"/>
      <c r="L72" s="155"/>
      <c r="M72" s="155"/>
      <c r="N72" s="154"/>
      <c r="O72" s="154"/>
      <c r="P72" s="154"/>
      <c r="Q72" s="154"/>
      <c r="R72" s="155"/>
      <c r="S72" s="155"/>
      <c r="T72" s="155"/>
      <c r="U72" s="155"/>
      <c r="V72" s="155"/>
      <c r="W72" s="155"/>
      <c r="X72" s="155"/>
      <c r="Y72" s="155"/>
      <c r="Z72" s="145"/>
      <c r="AA72" s="145"/>
      <c r="AB72" s="145"/>
      <c r="AC72" s="145"/>
      <c r="AD72" s="145"/>
      <c r="AE72" s="145"/>
      <c r="AF72" s="145"/>
      <c r="AG72" s="145" t="s">
        <v>198</v>
      </c>
      <c r="AH72" s="145">
        <v>0</v>
      </c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 x14ac:dyDescent="0.25">
      <c r="A73" s="166">
        <v>34</v>
      </c>
      <c r="B73" s="167" t="s">
        <v>280</v>
      </c>
      <c r="C73" s="180" t="s">
        <v>281</v>
      </c>
      <c r="D73" s="168" t="s">
        <v>201</v>
      </c>
      <c r="E73" s="169">
        <v>1.8625499999999999</v>
      </c>
      <c r="F73" s="170"/>
      <c r="G73" s="171">
        <f>ROUND(E73*F73,2)</f>
        <v>0</v>
      </c>
      <c r="H73" s="156">
        <v>3246.57</v>
      </c>
      <c r="I73" s="155">
        <f>ROUND(E73*H73,2)</f>
        <v>6046.9</v>
      </c>
      <c r="J73" s="156">
        <v>723.43</v>
      </c>
      <c r="K73" s="155">
        <f>ROUND(E73*J73,2)</f>
        <v>1347.42</v>
      </c>
      <c r="L73" s="155">
        <v>21</v>
      </c>
      <c r="M73" s="155">
        <f>G73*(1+L73/100)</f>
        <v>0</v>
      </c>
      <c r="N73" s="154">
        <v>2.5251100000000002</v>
      </c>
      <c r="O73" s="154">
        <f>ROUND(E73*N73,2)</f>
        <v>4.7</v>
      </c>
      <c r="P73" s="154">
        <v>0</v>
      </c>
      <c r="Q73" s="154">
        <f>ROUND(E73*P73,2)</f>
        <v>0</v>
      </c>
      <c r="R73" s="155"/>
      <c r="S73" s="155" t="s">
        <v>999</v>
      </c>
      <c r="T73" s="155" t="s">
        <v>999</v>
      </c>
      <c r="U73" s="155">
        <v>1.45</v>
      </c>
      <c r="V73" s="155">
        <f>ROUND(E73*U73,2)</f>
        <v>2.7</v>
      </c>
      <c r="W73" s="155"/>
      <c r="X73" s="155" t="s">
        <v>146</v>
      </c>
      <c r="Y73" s="155" t="s">
        <v>147</v>
      </c>
      <c r="Z73" s="145"/>
      <c r="AA73" s="145"/>
      <c r="AB73" s="145"/>
      <c r="AC73" s="145"/>
      <c r="AD73" s="145"/>
      <c r="AE73" s="145"/>
      <c r="AF73" s="145"/>
      <c r="AG73" s="145" t="s">
        <v>148</v>
      </c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2" x14ac:dyDescent="0.25">
      <c r="A74" s="152"/>
      <c r="B74" s="153"/>
      <c r="C74" s="187" t="s">
        <v>282</v>
      </c>
      <c r="D74" s="184"/>
      <c r="E74" s="185">
        <v>0.59250000000000003</v>
      </c>
      <c r="F74" s="155"/>
      <c r="G74" s="155"/>
      <c r="H74" s="155"/>
      <c r="I74" s="155"/>
      <c r="J74" s="155"/>
      <c r="K74" s="155"/>
      <c r="L74" s="155"/>
      <c r="M74" s="155"/>
      <c r="N74" s="154"/>
      <c r="O74" s="154"/>
      <c r="P74" s="154"/>
      <c r="Q74" s="154"/>
      <c r="R74" s="155"/>
      <c r="S74" s="155"/>
      <c r="T74" s="155"/>
      <c r="U74" s="155"/>
      <c r="V74" s="155"/>
      <c r="W74" s="155"/>
      <c r="X74" s="155"/>
      <c r="Y74" s="155"/>
      <c r="Z74" s="145"/>
      <c r="AA74" s="145"/>
      <c r="AB74" s="145"/>
      <c r="AC74" s="145"/>
      <c r="AD74" s="145"/>
      <c r="AE74" s="145"/>
      <c r="AF74" s="145"/>
      <c r="AG74" s="145" t="s">
        <v>198</v>
      </c>
      <c r="AH74" s="145">
        <v>0</v>
      </c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3" x14ac:dyDescent="0.25">
      <c r="A75" s="152"/>
      <c r="B75" s="153"/>
      <c r="C75" s="187" t="s">
        <v>283</v>
      </c>
      <c r="D75" s="184"/>
      <c r="E75" s="185">
        <v>0.60629999999999995</v>
      </c>
      <c r="F75" s="155"/>
      <c r="G75" s="155"/>
      <c r="H75" s="155"/>
      <c r="I75" s="155"/>
      <c r="J75" s="155"/>
      <c r="K75" s="155"/>
      <c r="L75" s="155"/>
      <c r="M75" s="155"/>
      <c r="N75" s="154"/>
      <c r="O75" s="154"/>
      <c r="P75" s="154"/>
      <c r="Q75" s="154"/>
      <c r="R75" s="155"/>
      <c r="S75" s="155"/>
      <c r="T75" s="155"/>
      <c r="U75" s="155"/>
      <c r="V75" s="155"/>
      <c r="W75" s="155"/>
      <c r="X75" s="155"/>
      <c r="Y75" s="155"/>
      <c r="Z75" s="145"/>
      <c r="AA75" s="145"/>
      <c r="AB75" s="145"/>
      <c r="AC75" s="145"/>
      <c r="AD75" s="145"/>
      <c r="AE75" s="145"/>
      <c r="AF75" s="145"/>
      <c r="AG75" s="145" t="s">
        <v>198</v>
      </c>
      <c r="AH75" s="145">
        <v>0</v>
      </c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3" x14ac:dyDescent="0.25">
      <c r="A76" s="152"/>
      <c r="B76" s="153"/>
      <c r="C76" s="187" t="s">
        <v>284</v>
      </c>
      <c r="D76" s="184"/>
      <c r="E76" s="185">
        <v>0.66374999999999995</v>
      </c>
      <c r="F76" s="155"/>
      <c r="G76" s="155"/>
      <c r="H76" s="155"/>
      <c r="I76" s="155"/>
      <c r="J76" s="155"/>
      <c r="K76" s="155"/>
      <c r="L76" s="155"/>
      <c r="M76" s="155"/>
      <c r="N76" s="154"/>
      <c r="O76" s="154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5"/>
      <c r="AA76" s="145"/>
      <c r="AB76" s="145"/>
      <c r="AC76" s="145"/>
      <c r="AD76" s="145"/>
      <c r="AE76" s="145"/>
      <c r="AF76" s="145"/>
      <c r="AG76" s="145" t="s">
        <v>198</v>
      </c>
      <c r="AH76" s="145">
        <v>0</v>
      </c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5">
      <c r="A77" s="166">
        <v>35</v>
      </c>
      <c r="B77" s="167" t="s">
        <v>285</v>
      </c>
      <c r="C77" s="180" t="s">
        <v>286</v>
      </c>
      <c r="D77" s="168" t="s">
        <v>228</v>
      </c>
      <c r="E77" s="169">
        <v>0.26075999999999999</v>
      </c>
      <c r="F77" s="170"/>
      <c r="G77" s="171">
        <f>ROUND(E77*F77,2)</f>
        <v>0</v>
      </c>
      <c r="H77" s="156">
        <v>47260.21</v>
      </c>
      <c r="I77" s="155">
        <f>ROUND(E77*H77,2)</f>
        <v>12323.57</v>
      </c>
      <c r="J77" s="156">
        <v>15869.79</v>
      </c>
      <c r="K77" s="155">
        <f>ROUND(E77*J77,2)</f>
        <v>4138.21</v>
      </c>
      <c r="L77" s="155">
        <v>21</v>
      </c>
      <c r="M77" s="155">
        <f>G77*(1+L77/100)</f>
        <v>0</v>
      </c>
      <c r="N77" s="154">
        <v>1.0166500000000001</v>
      </c>
      <c r="O77" s="154">
        <f>ROUND(E77*N77,2)</f>
        <v>0.27</v>
      </c>
      <c r="P77" s="154">
        <v>0</v>
      </c>
      <c r="Q77" s="154">
        <f>ROUND(E77*P77,2)</f>
        <v>0</v>
      </c>
      <c r="R77" s="155"/>
      <c r="S77" s="155" t="s">
        <v>999</v>
      </c>
      <c r="T77" s="155" t="s">
        <v>999</v>
      </c>
      <c r="U77" s="155">
        <v>27.672999999999998</v>
      </c>
      <c r="V77" s="155">
        <f>ROUND(E77*U77,2)</f>
        <v>7.22</v>
      </c>
      <c r="W77" s="155"/>
      <c r="X77" s="155" t="s">
        <v>146</v>
      </c>
      <c r="Y77" s="155" t="s">
        <v>147</v>
      </c>
      <c r="Z77" s="145"/>
      <c r="AA77" s="145"/>
      <c r="AB77" s="145"/>
      <c r="AC77" s="145"/>
      <c r="AD77" s="145"/>
      <c r="AE77" s="145"/>
      <c r="AF77" s="145"/>
      <c r="AG77" s="145" t="s">
        <v>148</v>
      </c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2" x14ac:dyDescent="0.25">
      <c r="A78" s="152"/>
      <c r="B78" s="153"/>
      <c r="C78" s="187" t="s">
        <v>287</v>
      </c>
      <c r="D78" s="184"/>
      <c r="E78" s="185">
        <v>0.26075999999999999</v>
      </c>
      <c r="F78" s="155"/>
      <c r="G78" s="155"/>
      <c r="H78" s="155"/>
      <c r="I78" s="155"/>
      <c r="J78" s="155"/>
      <c r="K78" s="155"/>
      <c r="L78" s="155"/>
      <c r="M78" s="155"/>
      <c r="N78" s="154"/>
      <c r="O78" s="154"/>
      <c r="P78" s="154"/>
      <c r="Q78" s="154"/>
      <c r="R78" s="155"/>
      <c r="S78" s="155"/>
      <c r="T78" s="155"/>
      <c r="U78" s="155"/>
      <c r="V78" s="155"/>
      <c r="W78" s="155"/>
      <c r="X78" s="155"/>
      <c r="Y78" s="155"/>
      <c r="Z78" s="145"/>
      <c r="AA78" s="145"/>
      <c r="AB78" s="145"/>
      <c r="AC78" s="145"/>
      <c r="AD78" s="145"/>
      <c r="AE78" s="145"/>
      <c r="AF78" s="145"/>
      <c r="AG78" s="145" t="s">
        <v>198</v>
      </c>
      <c r="AH78" s="145">
        <v>0</v>
      </c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5">
      <c r="A79" s="166">
        <v>36</v>
      </c>
      <c r="B79" s="167" t="s">
        <v>288</v>
      </c>
      <c r="C79" s="180" t="s">
        <v>289</v>
      </c>
      <c r="D79" s="168" t="s">
        <v>192</v>
      </c>
      <c r="E79" s="169">
        <v>39</v>
      </c>
      <c r="F79" s="170"/>
      <c r="G79" s="171">
        <f>ROUND(E79*F79,2)</f>
        <v>0</v>
      </c>
      <c r="H79" s="156">
        <v>94.47</v>
      </c>
      <c r="I79" s="155">
        <f>ROUND(E79*H79,2)</f>
        <v>3684.33</v>
      </c>
      <c r="J79" s="156">
        <v>439.53</v>
      </c>
      <c r="K79" s="155">
        <f>ROUND(E79*J79,2)</f>
        <v>17141.669999999998</v>
      </c>
      <c r="L79" s="155">
        <v>21</v>
      </c>
      <c r="M79" s="155">
        <f>G79*(1+L79/100)</f>
        <v>0</v>
      </c>
      <c r="N79" s="154">
        <v>4.965E-2</v>
      </c>
      <c r="O79" s="154">
        <f>ROUND(E79*N79,2)</f>
        <v>1.94</v>
      </c>
      <c r="P79" s="154">
        <v>0</v>
      </c>
      <c r="Q79" s="154">
        <f>ROUND(E79*P79,2)</f>
        <v>0</v>
      </c>
      <c r="R79" s="155"/>
      <c r="S79" s="155" t="s">
        <v>999</v>
      </c>
      <c r="T79" s="155" t="s">
        <v>999</v>
      </c>
      <c r="U79" s="155">
        <v>0.94</v>
      </c>
      <c r="V79" s="155">
        <f>ROUND(E79*U79,2)</f>
        <v>36.659999999999997</v>
      </c>
      <c r="W79" s="155"/>
      <c r="X79" s="155" t="s">
        <v>146</v>
      </c>
      <c r="Y79" s="155" t="s">
        <v>147</v>
      </c>
      <c r="Z79" s="145"/>
      <c r="AA79" s="145"/>
      <c r="AB79" s="145"/>
      <c r="AC79" s="145"/>
      <c r="AD79" s="145"/>
      <c r="AE79" s="145"/>
      <c r="AF79" s="145"/>
      <c r="AG79" s="145" t="s">
        <v>148</v>
      </c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2" x14ac:dyDescent="0.25">
      <c r="A80" s="152"/>
      <c r="B80" s="153"/>
      <c r="C80" s="187" t="s">
        <v>290</v>
      </c>
      <c r="D80" s="184"/>
      <c r="E80" s="185">
        <v>15.8</v>
      </c>
      <c r="F80" s="155"/>
      <c r="G80" s="155"/>
      <c r="H80" s="155"/>
      <c r="I80" s="155"/>
      <c r="J80" s="155"/>
      <c r="K80" s="155"/>
      <c r="L80" s="155"/>
      <c r="M80" s="155"/>
      <c r="N80" s="154"/>
      <c r="O80" s="154"/>
      <c r="P80" s="154"/>
      <c r="Q80" s="154"/>
      <c r="R80" s="155"/>
      <c r="S80" s="155"/>
      <c r="T80" s="155"/>
      <c r="U80" s="155"/>
      <c r="V80" s="155"/>
      <c r="W80" s="155"/>
      <c r="X80" s="155"/>
      <c r="Y80" s="155"/>
      <c r="Z80" s="145"/>
      <c r="AA80" s="145"/>
      <c r="AB80" s="145"/>
      <c r="AC80" s="145"/>
      <c r="AD80" s="145"/>
      <c r="AE80" s="145"/>
      <c r="AF80" s="145"/>
      <c r="AG80" s="145" t="s">
        <v>198</v>
      </c>
      <c r="AH80" s="145">
        <v>0</v>
      </c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3" x14ac:dyDescent="0.25">
      <c r="A81" s="152"/>
      <c r="B81" s="153"/>
      <c r="C81" s="187" t="s">
        <v>291</v>
      </c>
      <c r="D81" s="184"/>
      <c r="E81" s="185">
        <v>4.3</v>
      </c>
      <c r="F81" s="155"/>
      <c r="G81" s="155"/>
      <c r="H81" s="155"/>
      <c r="I81" s="155"/>
      <c r="J81" s="155"/>
      <c r="K81" s="155"/>
      <c r="L81" s="155"/>
      <c r="M81" s="155"/>
      <c r="N81" s="154"/>
      <c r="O81" s="154"/>
      <c r="P81" s="154"/>
      <c r="Q81" s="154"/>
      <c r="R81" s="155"/>
      <c r="S81" s="155"/>
      <c r="T81" s="155"/>
      <c r="U81" s="155"/>
      <c r="V81" s="155"/>
      <c r="W81" s="155"/>
      <c r="X81" s="155"/>
      <c r="Y81" s="155"/>
      <c r="Z81" s="145"/>
      <c r="AA81" s="145"/>
      <c r="AB81" s="145"/>
      <c r="AC81" s="145"/>
      <c r="AD81" s="145"/>
      <c r="AE81" s="145"/>
      <c r="AF81" s="145"/>
      <c r="AG81" s="145" t="s">
        <v>198</v>
      </c>
      <c r="AH81" s="145">
        <v>0</v>
      </c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3" x14ac:dyDescent="0.25">
      <c r="A82" s="152"/>
      <c r="B82" s="153"/>
      <c r="C82" s="187" t="s">
        <v>292</v>
      </c>
      <c r="D82" s="184"/>
      <c r="E82" s="185">
        <v>18.899999999999999</v>
      </c>
      <c r="F82" s="155"/>
      <c r="G82" s="155"/>
      <c r="H82" s="155"/>
      <c r="I82" s="155"/>
      <c r="J82" s="155"/>
      <c r="K82" s="155"/>
      <c r="L82" s="155"/>
      <c r="M82" s="155"/>
      <c r="N82" s="154"/>
      <c r="O82" s="154"/>
      <c r="P82" s="154"/>
      <c r="Q82" s="154"/>
      <c r="R82" s="155"/>
      <c r="S82" s="155"/>
      <c r="T82" s="155"/>
      <c r="U82" s="155"/>
      <c r="V82" s="155"/>
      <c r="W82" s="155"/>
      <c r="X82" s="155"/>
      <c r="Y82" s="155"/>
      <c r="Z82" s="145"/>
      <c r="AA82" s="145"/>
      <c r="AB82" s="145"/>
      <c r="AC82" s="145"/>
      <c r="AD82" s="145"/>
      <c r="AE82" s="145"/>
      <c r="AF82" s="145"/>
      <c r="AG82" s="145" t="s">
        <v>198</v>
      </c>
      <c r="AH82" s="145">
        <v>0</v>
      </c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5">
      <c r="A83" s="166">
        <v>37</v>
      </c>
      <c r="B83" s="167" t="s">
        <v>293</v>
      </c>
      <c r="C83" s="180" t="s">
        <v>294</v>
      </c>
      <c r="D83" s="168" t="s">
        <v>192</v>
      </c>
      <c r="E83" s="169">
        <v>39</v>
      </c>
      <c r="F83" s="170"/>
      <c r="G83" s="171">
        <f>ROUND(E83*F83,2)</f>
        <v>0</v>
      </c>
      <c r="H83" s="156">
        <v>0</v>
      </c>
      <c r="I83" s="155">
        <f>ROUND(E83*H83,2)</f>
        <v>0</v>
      </c>
      <c r="J83" s="156">
        <v>134.5</v>
      </c>
      <c r="K83" s="155">
        <f>ROUND(E83*J83,2)</f>
        <v>5245.5</v>
      </c>
      <c r="L83" s="155">
        <v>21</v>
      </c>
      <c r="M83" s="155">
        <f>G83*(1+L83/100)</f>
        <v>0</v>
      </c>
      <c r="N83" s="154">
        <v>0</v>
      </c>
      <c r="O83" s="154">
        <f>ROUND(E83*N83,2)</f>
        <v>0</v>
      </c>
      <c r="P83" s="154">
        <v>0</v>
      </c>
      <c r="Q83" s="154">
        <f>ROUND(E83*P83,2)</f>
        <v>0</v>
      </c>
      <c r="R83" s="155"/>
      <c r="S83" s="155" t="s">
        <v>999</v>
      </c>
      <c r="T83" s="155" t="s">
        <v>999</v>
      </c>
      <c r="U83" s="155">
        <v>0.28999999999999998</v>
      </c>
      <c r="V83" s="155">
        <f>ROUND(E83*U83,2)</f>
        <v>11.31</v>
      </c>
      <c r="W83" s="155"/>
      <c r="X83" s="155" t="s">
        <v>146</v>
      </c>
      <c r="Y83" s="155" t="s">
        <v>147</v>
      </c>
      <c r="Z83" s="145"/>
      <c r="AA83" s="145"/>
      <c r="AB83" s="145"/>
      <c r="AC83" s="145"/>
      <c r="AD83" s="145"/>
      <c r="AE83" s="145"/>
      <c r="AF83" s="145"/>
      <c r="AG83" s="145" t="s">
        <v>148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2" x14ac:dyDescent="0.25">
      <c r="A84" s="152"/>
      <c r="B84" s="153"/>
      <c r="C84" s="187" t="s">
        <v>295</v>
      </c>
      <c r="D84" s="184"/>
      <c r="E84" s="185">
        <v>39</v>
      </c>
      <c r="F84" s="155"/>
      <c r="G84" s="155"/>
      <c r="H84" s="155"/>
      <c r="I84" s="155"/>
      <c r="J84" s="155"/>
      <c r="K84" s="155"/>
      <c r="L84" s="155"/>
      <c r="M84" s="155"/>
      <c r="N84" s="154"/>
      <c r="O84" s="154"/>
      <c r="P84" s="154"/>
      <c r="Q84" s="154"/>
      <c r="R84" s="155"/>
      <c r="S84" s="155"/>
      <c r="T84" s="155"/>
      <c r="U84" s="155"/>
      <c r="V84" s="155"/>
      <c r="W84" s="155"/>
      <c r="X84" s="155"/>
      <c r="Y84" s="155"/>
      <c r="Z84" s="145"/>
      <c r="AA84" s="145"/>
      <c r="AB84" s="145"/>
      <c r="AC84" s="145"/>
      <c r="AD84" s="145"/>
      <c r="AE84" s="145"/>
      <c r="AF84" s="145"/>
      <c r="AG84" s="145" t="s">
        <v>198</v>
      </c>
      <c r="AH84" s="145">
        <v>5</v>
      </c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x14ac:dyDescent="0.25">
      <c r="A85" s="159" t="s">
        <v>139</v>
      </c>
      <c r="B85" s="160" t="s">
        <v>71</v>
      </c>
      <c r="C85" s="178" t="s">
        <v>72</v>
      </c>
      <c r="D85" s="161"/>
      <c r="E85" s="162"/>
      <c r="F85" s="163"/>
      <c r="G85" s="164">
        <f>SUMIF(AG86:AG87,"&lt;&gt;NOR",G86:G87)</f>
        <v>0</v>
      </c>
      <c r="H85" s="158"/>
      <c r="I85" s="158">
        <f>SUM(I86:I87)</f>
        <v>109.67</v>
      </c>
      <c r="J85" s="158"/>
      <c r="K85" s="158">
        <f>SUM(K86:K87)</f>
        <v>25.83</v>
      </c>
      <c r="L85" s="158"/>
      <c r="M85" s="158">
        <f>SUM(M86:M87)</f>
        <v>0</v>
      </c>
      <c r="N85" s="157"/>
      <c r="O85" s="157">
        <f>SUM(O86:O87)</f>
        <v>0.28999999999999998</v>
      </c>
      <c r="P85" s="157"/>
      <c r="Q85" s="157">
        <f>SUM(Q86:Q87)</f>
        <v>0</v>
      </c>
      <c r="R85" s="158"/>
      <c r="S85" s="158"/>
      <c r="T85" s="158"/>
      <c r="U85" s="158"/>
      <c r="V85" s="158">
        <f>SUM(V86:V87)</f>
        <v>0.02</v>
      </c>
      <c r="W85" s="158"/>
      <c r="X85" s="158"/>
      <c r="Y85" s="158"/>
      <c r="AG85" t="s">
        <v>140</v>
      </c>
    </row>
    <row r="86" spans="1:60" ht="20.399999999999999" outlineLevel="1" x14ac:dyDescent="0.25">
      <c r="A86" s="166">
        <v>38</v>
      </c>
      <c r="B86" s="167" t="s">
        <v>296</v>
      </c>
      <c r="C86" s="180" t="s">
        <v>297</v>
      </c>
      <c r="D86" s="168" t="s">
        <v>197</v>
      </c>
      <c r="E86" s="169">
        <v>1</v>
      </c>
      <c r="F86" s="170"/>
      <c r="G86" s="171">
        <f>ROUND(E86*F86,2)</f>
        <v>0</v>
      </c>
      <c r="H86" s="156">
        <v>109.67</v>
      </c>
      <c r="I86" s="155">
        <f>ROUND(E86*H86,2)</f>
        <v>109.67</v>
      </c>
      <c r="J86" s="156">
        <v>25.83</v>
      </c>
      <c r="K86" s="155">
        <f>ROUND(E86*J86,2)</f>
        <v>25.83</v>
      </c>
      <c r="L86" s="155">
        <v>21</v>
      </c>
      <c r="M86" s="155">
        <f>G86*(1+L86/100)</f>
        <v>0</v>
      </c>
      <c r="N86" s="154">
        <v>0.28799999999999998</v>
      </c>
      <c r="O86" s="154">
        <f>ROUND(E86*N86,2)</f>
        <v>0.28999999999999998</v>
      </c>
      <c r="P86" s="154">
        <v>0</v>
      </c>
      <c r="Q86" s="154">
        <f>ROUND(E86*P86,2)</f>
        <v>0</v>
      </c>
      <c r="R86" s="155"/>
      <c r="S86" s="155" t="s">
        <v>999</v>
      </c>
      <c r="T86" s="155" t="s">
        <v>999</v>
      </c>
      <c r="U86" s="155">
        <v>0.02</v>
      </c>
      <c r="V86" s="155">
        <f>ROUND(E86*U86,2)</f>
        <v>0.02</v>
      </c>
      <c r="W86" s="155"/>
      <c r="X86" s="155" t="s">
        <v>146</v>
      </c>
      <c r="Y86" s="155" t="s">
        <v>147</v>
      </c>
      <c r="Z86" s="145"/>
      <c r="AA86" s="145"/>
      <c r="AB86" s="145"/>
      <c r="AC86" s="145"/>
      <c r="AD86" s="145"/>
      <c r="AE86" s="145"/>
      <c r="AF86" s="145"/>
      <c r="AG86" s="145" t="s">
        <v>148</v>
      </c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2" x14ac:dyDescent="0.25">
      <c r="A87" s="152"/>
      <c r="B87" s="153" t="s">
        <v>1035</v>
      </c>
      <c r="C87" s="187" t="s">
        <v>1034</v>
      </c>
      <c r="D87" s="184"/>
      <c r="E87" s="185">
        <v>1</v>
      </c>
      <c r="F87" s="155"/>
      <c r="G87" s="155"/>
      <c r="H87" s="155"/>
      <c r="I87" s="155"/>
      <c r="J87" s="155"/>
      <c r="K87" s="155"/>
      <c r="L87" s="155"/>
      <c r="M87" s="155"/>
      <c r="N87" s="154"/>
      <c r="O87" s="154"/>
      <c r="P87" s="154"/>
      <c r="Q87" s="154"/>
      <c r="R87" s="155"/>
      <c r="S87" s="155"/>
      <c r="T87" s="155"/>
      <c r="U87" s="155"/>
      <c r="V87" s="155"/>
      <c r="W87" s="155"/>
      <c r="X87" s="155"/>
      <c r="Y87" s="155"/>
      <c r="Z87" s="145"/>
      <c r="AA87" s="145"/>
      <c r="AB87" s="145"/>
      <c r="AC87" s="145"/>
      <c r="AD87" s="145"/>
      <c r="AE87" s="145"/>
      <c r="AF87" s="145"/>
      <c r="AG87" s="145" t="s">
        <v>198</v>
      </c>
      <c r="AH87" s="145">
        <v>0</v>
      </c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x14ac:dyDescent="0.25">
      <c r="A88" s="159" t="s">
        <v>139</v>
      </c>
      <c r="B88" s="160" t="s">
        <v>73</v>
      </c>
      <c r="C88" s="178" t="s">
        <v>74</v>
      </c>
      <c r="D88" s="161"/>
      <c r="E88" s="162"/>
      <c r="F88" s="163"/>
      <c r="G88" s="164">
        <f>SUMIF(AG89:AG95,"&lt;&gt;NOR",G89:G95)</f>
        <v>0</v>
      </c>
      <c r="H88" s="158"/>
      <c r="I88" s="158">
        <f>SUM(I89:I95)</f>
        <v>21848.149999999998</v>
      </c>
      <c r="J88" s="158"/>
      <c r="K88" s="158">
        <f>SUM(K89:K95)</f>
        <v>35616.219999999994</v>
      </c>
      <c r="L88" s="158"/>
      <c r="M88" s="158">
        <f>SUM(M89:M95)</f>
        <v>0</v>
      </c>
      <c r="N88" s="157"/>
      <c r="O88" s="157">
        <f>SUM(O89:O95)</f>
        <v>1.8200000000000003</v>
      </c>
      <c r="P88" s="157"/>
      <c r="Q88" s="157">
        <f>SUM(Q89:Q95)</f>
        <v>0</v>
      </c>
      <c r="R88" s="158"/>
      <c r="S88" s="158"/>
      <c r="T88" s="158"/>
      <c r="U88" s="158"/>
      <c r="V88" s="158">
        <f>SUM(V89:V95)</f>
        <v>68.760000000000005</v>
      </c>
      <c r="W88" s="158"/>
      <c r="X88" s="158"/>
      <c r="Y88" s="158"/>
      <c r="AG88" t="s">
        <v>140</v>
      </c>
    </row>
    <row r="89" spans="1:60" outlineLevel="1" x14ac:dyDescent="0.25">
      <c r="A89" s="172">
        <v>39</v>
      </c>
      <c r="B89" s="173" t="s">
        <v>298</v>
      </c>
      <c r="C89" s="179" t="s">
        <v>299</v>
      </c>
      <c r="D89" s="174" t="s">
        <v>197</v>
      </c>
      <c r="E89" s="175">
        <v>64.900000000000006</v>
      </c>
      <c r="F89" s="176"/>
      <c r="G89" s="177">
        <f t="shared" ref="G89:G95" si="2">ROUND(E89*F89,2)</f>
        <v>0</v>
      </c>
      <c r="H89" s="156">
        <v>39.6</v>
      </c>
      <c r="I89" s="155">
        <f t="shared" ref="I89:I95" si="3">ROUND(E89*H89,2)</f>
        <v>2570.04</v>
      </c>
      <c r="J89" s="156">
        <v>35.799999999999997</v>
      </c>
      <c r="K89" s="155">
        <f t="shared" ref="K89:K95" si="4">ROUND(E89*J89,2)</f>
        <v>2323.42</v>
      </c>
      <c r="L89" s="155">
        <v>21</v>
      </c>
      <c r="M89" s="155">
        <f t="shared" ref="M89:M95" si="5">G89*(1+L89/100)</f>
        <v>0</v>
      </c>
      <c r="N89" s="154">
        <v>3.2000000000000003E-4</v>
      </c>
      <c r="O89" s="154">
        <f t="shared" ref="O89:O95" si="6">ROUND(E89*N89,2)</f>
        <v>0.02</v>
      </c>
      <c r="P89" s="154">
        <v>0</v>
      </c>
      <c r="Q89" s="154">
        <f t="shared" ref="Q89:Q95" si="7">ROUND(E89*P89,2)</f>
        <v>0</v>
      </c>
      <c r="R89" s="155"/>
      <c r="S89" s="155" t="s">
        <v>999</v>
      </c>
      <c r="T89" s="155" t="s">
        <v>999</v>
      </c>
      <c r="U89" s="155">
        <v>7.0000000000000007E-2</v>
      </c>
      <c r="V89" s="155">
        <f t="shared" ref="V89:V95" si="8">ROUND(E89*U89,2)</f>
        <v>4.54</v>
      </c>
      <c r="W89" s="155"/>
      <c r="X89" s="155" t="s">
        <v>146</v>
      </c>
      <c r="Y89" s="155" t="s">
        <v>147</v>
      </c>
      <c r="Z89" s="145"/>
      <c r="AA89" s="145"/>
      <c r="AB89" s="145"/>
      <c r="AC89" s="145"/>
      <c r="AD89" s="145"/>
      <c r="AE89" s="145"/>
      <c r="AF89" s="145"/>
      <c r="AG89" s="145" t="s">
        <v>148</v>
      </c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5">
      <c r="A90" s="172">
        <v>40</v>
      </c>
      <c r="B90" s="173" t="s">
        <v>300</v>
      </c>
      <c r="C90" s="179" t="s">
        <v>301</v>
      </c>
      <c r="D90" s="174" t="s">
        <v>197</v>
      </c>
      <c r="E90" s="175">
        <v>64.900000000000006</v>
      </c>
      <c r="F90" s="176"/>
      <c r="G90" s="177">
        <f t="shared" si="2"/>
        <v>0</v>
      </c>
      <c r="H90" s="156">
        <v>40.39</v>
      </c>
      <c r="I90" s="155">
        <f t="shared" si="3"/>
        <v>2621.31</v>
      </c>
      <c r="J90" s="156">
        <v>38.61</v>
      </c>
      <c r="K90" s="155">
        <f t="shared" si="4"/>
        <v>2505.79</v>
      </c>
      <c r="L90" s="155">
        <v>21</v>
      </c>
      <c r="M90" s="155">
        <f t="shared" si="5"/>
        <v>0</v>
      </c>
      <c r="N90" s="154">
        <v>5.2500000000000003E-3</v>
      </c>
      <c r="O90" s="154">
        <f t="shared" si="6"/>
        <v>0.34</v>
      </c>
      <c r="P90" s="154">
        <v>0</v>
      </c>
      <c r="Q90" s="154">
        <f t="shared" si="7"/>
        <v>0</v>
      </c>
      <c r="R90" s="155"/>
      <c r="S90" s="155" t="s">
        <v>999</v>
      </c>
      <c r="T90" s="155" t="s">
        <v>999</v>
      </c>
      <c r="U90" s="155">
        <v>0.1</v>
      </c>
      <c r="V90" s="155">
        <f t="shared" si="8"/>
        <v>6.49</v>
      </c>
      <c r="W90" s="155"/>
      <c r="X90" s="155" t="s">
        <v>146</v>
      </c>
      <c r="Y90" s="155" t="s">
        <v>147</v>
      </c>
      <c r="Z90" s="145"/>
      <c r="AA90" s="145"/>
      <c r="AB90" s="145"/>
      <c r="AC90" s="145"/>
      <c r="AD90" s="145"/>
      <c r="AE90" s="145"/>
      <c r="AF90" s="145"/>
      <c r="AG90" s="145" t="s">
        <v>148</v>
      </c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ht="20.399999999999999" outlineLevel="1" x14ac:dyDescent="0.25">
      <c r="A91" s="172">
        <v>41</v>
      </c>
      <c r="B91" s="173" t="s">
        <v>302</v>
      </c>
      <c r="C91" s="179" t="s">
        <v>303</v>
      </c>
      <c r="D91" s="174" t="s">
        <v>197</v>
      </c>
      <c r="E91" s="175">
        <v>64.900000000000006</v>
      </c>
      <c r="F91" s="176"/>
      <c r="G91" s="177">
        <f t="shared" si="2"/>
        <v>0</v>
      </c>
      <c r="H91" s="156">
        <v>110.3</v>
      </c>
      <c r="I91" s="155">
        <f t="shared" si="3"/>
        <v>7158.47</v>
      </c>
      <c r="J91" s="156">
        <v>185.2</v>
      </c>
      <c r="K91" s="155">
        <f t="shared" si="4"/>
        <v>12019.48</v>
      </c>
      <c r="L91" s="155">
        <v>21</v>
      </c>
      <c r="M91" s="155">
        <f t="shared" si="5"/>
        <v>0</v>
      </c>
      <c r="N91" s="154">
        <v>1.7000000000000001E-2</v>
      </c>
      <c r="O91" s="154">
        <f t="shared" si="6"/>
        <v>1.1000000000000001</v>
      </c>
      <c r="P91" s="154">
        <v>0</v>
      </c>
      <c r="Q91" s="154">
        <f t="shared" si="7"/>
        <v>0</v>
      </c>
      <c r="R91" s="155"/>
      <c r="S91" s="155" t="s">
        <v>999</v>
      </c>
      <c r="T91" s="155" t="s">
        <v>999</v>
      </c>
      <c r="U91" s="155">
        <v>0.36</v>
      </c>
      <c r="V91" s="155">
        <f t="shared" si="8"/>
        <v>23.36</v>
      </c>
      <c r="W91" s="155"/>
      <c r="X91" s="155" t="s">
        <v>146</v>
      </c>
      <c r="Y91" s="155" t="s">
        <v>147</v>
      </c>
      <c r="Z91" s="145"/>
      <c r="AA91" s="145"/>
      <c r="AB91" s="145"/>
      <c r="AC91" s="145"/>
      <c r="AD91" s="145"/>
      <c r="AE91" s="145"/>
      <c r="AF91" s="145"/>
      <c r="AG91" s="145" t="s">
        <v>148</v>
      </c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ht="20.399999999999999" outlineLevel="1" x14ac:dyDescent="0.25">
      <c r="A92" s="172">
        <v>42</v>
      </c>
      <c r="B92" s="173" t="s">
        <v>304</v>
      </c>
      <c r="C92" s="179" t="s">
        <v>305</v>
      </c>
      <c r="D92" s="174" t="s">
        <v>197</v>
      </c>
      <c r="E92" s="175">
        <v>64.900000000000006</v>
      </c>
      <c r="F92" s="176"/>
      <c r="G92" s="177">
        <f t="shared" si="2"/>
        <v>0</v>
      </c>
      <c r="H92" s="156">
        <v>79.819999999999993</v>
      </c>
      <c r="I92" s="155">
        <f t="shared" si="3"/>
        <v>5180.32</v>
      </c>
      <c r="J92" s="156">
        <v>201.18</v>
      </c>
      <c r="K92" s="155">
        <f t="shared" si="4"/>
        <v>13056.58</v>
      </c>
      <c r="L92" s="155">
        <v>21</v>
      </c>
      <c r="M92" s="155">
        <f t="shared" si="5"/>
        <v>0</v>
      </c>
      <c r="N92" s="154">
        <v>3.6099999999999999E-3</v>
      </c>
      <c r="O92" s="154">
        <f t="shared" si="6"/>
        <v>0.23</v>
      </c>
      <c r="P92" s="154">
        <v>0</v>
      </c>
      <c r="Q92" s="154">
        <f t="shared" si="7"/>
        <v>0</v>
      </c>
      <c r="R92" s="155"/>
      <c r="S92" s="155" t="s">
        <v>999</v>
      </c>
      <c r="T92" s="155" t="s">
        <v>999</v>
      </c>
      <c r="U92" s="155">
        <v>0.36</v>
      </c>
      <c r="V92" s="155">
        <f t="shared" si="8"/>
        <v>23.36</v>
      </c>
      <c r="W92" s="155"/>
      <c r="X92" s="155" t="s">
        <v>146</v>
      </c>
      <c r="Y92" s="155" t="s">
        <v>147</v>
      </c>
      <c r="Z92" s="145"/>
      <c r="AA92" s="145"/>
      <c r="AB92" s="145"/>
      <c r="AC92" s="145"/>
      <c r="AD92" s="145"/>
      <c r="AE92" s="145"/>
      <c r="AF92" s="145"/>
      <c r="AG92" s="145" t="s">
        <v>148</v>
      </c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5">
      <c r="A93" s="172">
        <v>43</v>
      </c>
      <c r="B93" s="173" t="s">
        <v>306</v>
      </c>
      <c r="C93" s="179" t="s">
        <v>307</v>
      </c>
      <c r="D93" s="174" t="s">
        <v>197</v>
      </c>
      <c r="E93" s="175">
        <v>45.86</v>
      </c>
      <c r="F93" s="176"/>
      <c r="G93" s="177">
        <f t="shared" si="2"/>
        <v>0</v>
      </c>
      <c r="H93" s="156">
        <v>17.47</v>
      </c>
      <c r="I93" s="155">
        <f t="shared" si="3"/>
        <v>801.17</v>
      </c>
      <c r="J93" s="156">
        <v>124.53</v>
      </c>
      <c r="K93" s="155">
        <f t="shared" si="4"/>
        <v>5710.95</v>
      </c>
      <c r="L93" s="155">
        <v>21</v>
      </c>
      <c r="M93" s="155">
        <f t="shared" si="5"/>
        <v>0</v>
      </c>
      <c r="N93" s="154">
        <v>2.5000000000000001E-3</v>
      </c>
      <c r="O93" s="154">
        <f t="shared" si="6"/>
        <v>0.11</v>
      </c>
      <c r="P93" s="154">
        <v>0</v>
      </c>
      <c r="Q93" s="154">
        <f t="shared" si="7"/>
        <v>0</v>
      </c>
      <c r="R93" s="155"/>
      <c r="S93" s="155" t="s">
        <v>999</v>
      </c>
      <c r="T93" s="155" t="s">
        <v>999</v>
      </c>
      <c r="U93" s="155">
        <v>0.24</v>
      </c>
      <c r="V93" s="155">
        <f t="shared" si="8"/>
        <v>11.01</v>
      </c>
      <c r="W93" s="155"/>
      <c r="X93" s="155" t="s">
        <v>146</v>
      </c>
      <c r="Y93" s="155" t="s">
        <v>147</v>
      </c>
      <c r="Z93" s="145"/>
      <c r="AA93" s="145"/>
      <c r="AB93" s="145"/>
      <c r="AC93" s="145"/>
      <c r="AD93" s="145"/>
      <c r="AE93" s="145"/>
      <c r="AF93" s="145"/>
      <c r="AG93" s="145" t="s">
        <v>148</v>
      </c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5">
      <c r="A94" s="172">
        <v>44</v>
      </c>
      <c r="B94" s="173" t="s">
        <v>308</v>
      </c>
      <c r="C94" s="179" t="s">
        <v>309</v>
      </c>
      <c r="D94" s="174" t="s">
        <v>192</v>
      </c>
      <c r="E94" s="175">
        <v>30</v>
      </c>
      <c r="F94" s="176"/>
      <c r="G94" s="177">
        <f t="shared" si="2"/>
        <v>0</v>
      </c>
      <c r="H94" s="156">
        <v>70.5</v>
      </c>
      <c r="I94" s="155">
        <f t="shared" si="3"/>
        <v>2115</v>
      </c>
      <c r="J94" s="156">
        <v>0</v>
      </c>
      <c r="K94" s="155">
        <f t="shared" si="4"/>
        <v>0</v>
      </c>
      <c r="L94" s="155">
        <v>21</v>
      </c>
      <c r="M94" s="155">
        <f t="shared" si="5"/>
        <v>0</v>
      </c>
      <c r="N94" s="154">
        <v>4.6000000000000001E-4</v>
      </c>
      <c r="O94" s="154">
        <f t="shared" si="6"/>
        <v>0.01</v>
      </c>
      <c r="P94" s="154">
        <v>0</v>
      </c>
      <c r="Q94" s="154">
        <f t="shared" si="7"/>
        <v>0</v>
      </c>
      <c r="R94" s="155"/>
      <c r="S94" s="155" t="s">
        <v>999</v>
      </c>
      <c r="T94" s="155" t="s">
        <v>999</v>
      </c>
      <c r="U94" s="155">
        <v>0</v>
      </c>
      <c r="V94" s="155">
        <f t="shared" si="8"/>
        <v>0</v>
      </c>
      <c r="W94" s="155"/>
      <c r="X94" s="155" t="s">
        <v>146</v>
      </c>
      <c r="Y94" s="155" t="s">
        <v>147</v>
      </c>
      <c r="Z94" s="145"/>
      <c r="AA94" s="145"/>
      <c r="AB94" s="145"/>
      <c r="AC94" s="145"/>
      <c r="AD94" s="145"/>
      <c r="AE94" s="145"/>
      <c r="AF94" s="145"/>
      <c r="AG94" s="145" t="s">
        <v>148</v>
      </c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5">
      <c r="A95" s="172">
        <v>45</v>
      </c>
      <c r="B95" s="173" t="s">
        <v>310</v>
      </c>
      <c r="C95" s="179" t="s">
        <v>311</v>
      </c>
      <c r="D95" s="174" t="s">
        <v>197</v>
      </c>
      <c r="E95" s="175">
        <v>64.900000000000006</v>
      </c>
      <c r="F95" s="176"/>
      <c r="G95" s="177">
        <f t="shared" si="2"/>
        <v>0</v>
      </c>
      <c r="H95" s="156">
        <v>21.6</v>
      </c>
      <c r="I95" s="155">
        <f t="shared" si="3"/>
        <v>1401.84</v>
      </c>
      <c r="J95" s="156">
        <v>0</v>
      </c>
      <c r="K95" s="155">
        <f t="shared" si="4"/>
        <v>0</v>
      </c>
      <c r="L95" s="155">
        <v>21</v>
      </c>
      <c r="M95" s="155">
        <f t="shared" si="5"/>
        <v>0</v>
      </c>
      <c r="N95" s="154">
        <v>8.0000000000000007E-5</v>
      </c>
      <c r="O95" s="154">
        <f t="shared" si="6"/>
        <v>0.01</v>
      </c>
      <c r="P95" s="154">
        <v>0</v>
      </c>
      <c r="Q95" s="154">
        <f t="shared" si="7"/>
        <v>0</v>
      </c>
      <c r="R95" s="155"/>
      <c r="S95" s="155" t="s">
        <v>999</v>
      </c>
      <c r="T95" s="155" t="s">
        <v>999</v>
      </c>
      <c r="U95" s="155">
        <v>0</v>
      </c>
      <c r="V95" s="155">
        <f t="shared" si="8"/>
        <v>0</v>
      </c>
      <c r="W95" s="155"/>
      <c r="X95" s="155" t="s">
        <v>146</v>
      </c>
      <c r="Y95" s="155" t="s">
        <v>147</v>
      </c>
      <c r="Z95" s="145"/>
      <c r="AA95" s="145"/>
      <c r="AB95" s="145"/>
      <c r="AC95" s="145"/>
      <c r="AD95" s="145"/>
      <c r="AE95" s="145"/>
      <c r="AF95" s="145"/>
      <c r="AG95" s="145" t="s">
        <v>148</v>
      </c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x14ac:dyDescent="0.25">
      <c r="A96" s="159" t="s">
        <v>139</v>
      </c>
      <c r="B96" s="160" t="s">
        <v>75</v>
      </c>
      <c r="C96" s="178" t="s">
        <v>76</v>
      </c>
      <c r="D96" s="161"/>
      <c r="E96" s="162"/>
      <c r="F96" s="163"/>
      <c r="G96" s="164">
        <f>SUMIF(AG97:AG103,"&lt;&gt;NOR",G97:G103)</f>
        <v>0</v>
      </c>
      <c r="H96" s="158"/>
      <c r="I96" s="158">
        <f>SUM(I97:I103)</f>
        <v>21277.010000000002</v>
      </c>
      <c r="J96" s="158"/>
      <c r="K96" s="158">
        <f>SUM(K97:K103)</f>
        <v>202712.80000000002</v>
      </c>
      <c r="L96" s="158"/>
      <c r="M96" s="158">
        <f>SUM(M97:M103)</f>
        <v>0</v>
      </c>
      <c r="N96" s="157"/>
      <c r="O96" s="157">
        <f>SUM(O97:O103)</f>
        <v>9.8047519999999988</v>
      </c>
      <c r="P96" s="157"/>
      <c r="Q96" s="157">
        <f>SUM(Q97:Q103)</f>
        <v>0</v>
      </c>
      <c r="R96" s="158"/>
      <c r="S96" s="158"/>
      <c r="T96" s="158"/>
      <c r="U96" s="158"/>
      <c r="V96" s="158">
        <f>SUM(V97:V103)</f>
        <v>148.71</v>
      </c>
      <c r="W96" s="158"/>
      <c r="X96" s="158"/>
      <c r="Y96" s="158"/>
      <c r="AG96" t="s">
        <v>140</v>
      </c>
    </row>
    <row r="97" spans="1:60" ht="20.399999999999999" outlineLevel="1" x14ac:dyDescent="0.25">
      <c r="A97" s="166">
        <v>46</v>
      </c>
      <c r="B97" s="167" t="s">
        <v>312</v>
      </c>
      <c r="C97" s="180" t="s">
        <v>313</v>
      </c>
      <c r="D97" s="168" t="s">
        <v>197</v>
      </c>
      <c r="E97" s="169">
        <v>49.81</v>
      </c>
      <c r="F97" s="170"/>
      <c r="G97" s="171">
        <f>ROUND(E97*F97,2)</f>
        <v>0</v>
      </c>
      <c r="H97" s="156">
        <v>0</v>
      </c>
      <c r="I97" s="155">
        <f>ROUND(E97*H97,2)</f>
        <v>0</v>
      </c>
      <c r="J97" s="156">
        <v>3320</v>
      </c>
      <c r="K97" s="155">
        <f>ROUND(E97*J97,2)</f>
        <v>165369.20000000001</v>
      </c>
      <c r="L97" s="155">
        <v>21</v>
      </c>
      <c r="M97" s="155">
        <f>G97*(1+L97/100)</f>
        <v>0</v>
      </c>
      <c r="N97" s="154">
        <v>0.12767999999999999</v>
      </c>
      <c r="O97" s="154">
        <f>ROUND(E97*N97,2)</f>
        <v>6.36</v>
      </c>
      <c r="P97" s="154">
        <v>0</v>
      </c>
      <c r="Q97" s="154">
        <f>ROUND(E97*P97,2)</f>
        <v>0</v>
      </c>
      <c r="R97" s="155"/>
      <c r="S97" s="155" t="s">
        <v>144</v>
      </c>
      <c r="T97" s="155" t="s">
        <v>145</v>
      </c>
      <c r="U97" s="155">
        <v>1.5</v>
      </c>
      <c r="V97" s="155">
        <f>ROUND(E97*U97,2)</f>
        <v>74.72</v>
      </c>
      <c r="W97" s="155"/>
      <c r="X97" s="155" t="s">
        <v>146</v>
      </c>
      <c r="Y97" s="155" t="s">
        <v>147</v>
      </c>
      <c r="Z97" s="145"/>
      <c r="AA97" s="145"/>
      <c r="AB97" s="145"/>
      <c r="AC97" s="145"/>
      <c r="AD97" s="145"/>
      <c r="AE97" s="145"/>
      <c r="AF97" s="145"/>
      <c r="AG97" s="145" t="s">
        <v>148</v>
      </c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5">
      <c r="A98" s="172">
        <v>47</v>
      </c>
      <c r="B98" s="173" t="s">
        <v>314</v>
      </c>
      <c r="C98" s="179" t="s">
        <v>315</v>
      </c>
      <c r="D98" s="174" t="s">
        <v>197</v>
      </c>
      <c r="E98" s="175">
        <v>49.81</v>
      </c>
      <c r="F98" s="176"/>
      <c r="G98" s="177">
        <f>ROUND(E98*F98,2)</f>
        <v>0</v>
      </c>
      <c r="H98" s="156">
        <v>56.31</v>
      </c>
      <c r="I98" s="155">
        <f>ROUND(E98*H98,2)</f>
        <v>2804.8</v>
      </c>
      <c r="J98" s="156">
        <v>220.69</v>
      </c>
      <c r="K98" s="155">
        <f>ROUND(E98*J98,2)</f>
        <v>10992.57</v>
      </c>
      <c r="L98" s="155">
        <v>21</v>
      </c>
      <c r="M98" s="155">
        <f>G98*(1+L98/100)</f>
        <v>0</v>
      </c>
      <c r="N98" s="154">
        <v>4.793E-2</v>
      </c>
      <c r="O98" s="154">
        <f>ROUND(E98*N98,2)</f>
        <v>2.39</v>
      </c>
      <c r="P98" s="154">
        <v>0</v>
      </c>
      <c r="Q98" s="154">
        <f>ROUND(E98*P98,2)</f>
        <v>0</v>
      </c>
      <c r="R98" s="155"/>
      <c r="S98" s="155" t="s">
        <v>999</v>
      </c>
      <c r="T98" s="155" t="s">
        <v>999</v>
      </c>
      <c r="U98" s="155">
        <v>0.46</v>
      </c>
      <c r="V98" s="155">
        <f>ROUND(E98*U98,2)</f>
        <v>22.91</v>
      </c>
      <c r="W98" s="155"/>
      <c r="X98" s="155" t="s">
        <v>146</v>
      </c>
      <c r="Y98" s="155" t="s">
        <v>147</v>
      </c>
      <c r="Z98" s="145"/>
      <c r="AA98" s="145"/>
      <c r="AB98" s="145"/>
      <c r="AC98" s="145"/>
      <c r="AD98" s="145"/>
      <c r="AE98" s="145"/>
      <c r="AF98" s="145"/>
      <c r="AG98" s="145" t="s">
        <v>148</v>
      </c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ht="30.6" outlineLevel="1" x14ac:dyDescent="0.25">
      <c r="A99" s="166">
        <v>48</v>
      </c>
      <c r="B99" s="167" t="s">
        <v>316</v>
      </c>
      <c r="C99" s="180" t="s">
        <v>317</v>
      </c>
      <c r="D99" s="168" t="s">
        <v>197</v>
      </c>
      <c r="E99" s="169">
        <v>39.6</v>
      </c>
      <c r="F99" s="170"/>
      <c r="G99" s="171">
        <f>ROUND(E99*F99,2)</f>
        <v>0</v>
      </c>
      <c r="H99" s="156">
        <v>191.1</v>
      </c>
      <c r="I99" s="155">
        <f>ROUND(E99*H99,2)</f>
        <v>7567.56</v>
      </c>
      <c r="J99" s="156">
        <v>117.4</v>
      </c>
      <c r="K99" s="155">
        <f>ROUND(E99*J99,2)</f>
        <v>4649.04</v>
      </c>
      <c r="L99" s="155">
        <v>21</v>
      </c>
      <c r="M99" s="155">
        <f>G99*(1+L99/100)</f>
        <v>0</v>
      </c>
      <c r="N99" s="154">
        <v>9.6000000000000002E-4</v>
      </c>
      <c r="O99" s="154">
        <f>ROUND(E99*N99,2)</f>
        <v>0.04</v>
      </c>
      <c r="P99" s="154">
        <v>0</v>
      </c>
      <c r="Q99" s="154">
        <f>ROUND(E99*P99,2)</f>
        <v>0</v>
      </c>
      <c r="R99" s="155"/>
      <c r="S99" s="155" t="s">
        <v>999</v>
      </c>
      <c r="T99" s="155" t="s">
        <v>999</v>
      </c>
      <c r="U99" s="155">
        <v>0.23</v>
      </c>
      <c r="V99" s="155">
        <f>ROUND(E99*U99,2)</f>
        <v>9.11</v>
      </c>
      <c r="W99" s="155"/>
      <c r="X99" s="155" t="s">
        <v>146</v>
      </c>
      <c r="Y99" s="155" t="s">
        <v>147</v>
      </c>
      <c r="Z99" s="145"/>
      <c r="AA99" s="145"/>
      <c r="AB99" s="145"/>
      <c r="AC99" s="145"/>
      <c r="AD99" s="145"/>
      <c r="AE99" s="145"/>
      <c r="AF99" s="145"/>
      <c r="AG99" s="145" t="s">
        <v>148</v>
      </c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2" x14ac:dyDescent="0.25">
      <c r="A100" s="152"/>
      <c r="B100" s="153"/>
      <c r="C100" s="510" t="s">
        <v>318</v>
      </c>
      <c r="D100" s="511"/>
      <c r="E100" s="511"/>
      <c r="F100" s="511"/>
      <c r="G100" s="511"/>
      <c r="H100" s="155"/>
      <c r="I100" s="155"/>
      <c r="J100" s="155"/>
      <c r="K100" s="155"/>
      <c r="L100" s="155"/>
      <c r="M100" s="155"/>
      <c r="N100" s="154"/>
      <c r="O100" s="154"/>
      <c r="P100" s="154"/>
      <c r="Q100" s="154"/>
      <c r="R100" s="155"/>
      <c r="S100" s="155"/>
      <c r="T100" s="155"/>
      <c r="U100" s="155"/>
      <c r="V100" s="155"/>
      <c r="W100" s="155"/>
      <c r="X100" s="155"/>
      <c r="Y100" s="155"/>
      <c r="Z100" s="145"/>
      <c r="AA100" s="145"/>
      <c r="AB100" s="145"/>
      <c r="AC100" s="145"/>
      <c r="AD100" s="145"/>
      <c r="AE100" s="145"/>
      <c r="AF100" s="145"/>
      <c r="AG100" s="145" t="s">
        <v>225</v>
      </c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ht="20.399999999999999" outlineLevel="1" x14ac:dyDescent="0.25">
      <c r="A101" s="172">
        <v>49</v>
      </c>
      <c r="B101" s="173" t="s">
        <v>319</v>
      </c>
      <c r="C101" s="179" t="s">
        <v>320</v>
      </c>
      <c r="D101" s="174" t="s">
        <v>197</v>
      </c>
      <c r="E101" s="175">
        <v>39.6</v>
      </c>
      <c r="F101" s="176"/>
      <c r="G101" s="177">
        <f>ROUND(E101*F101,2)</f>
        <v>0</v>
      </c>
      <c r="H101" s="156">
        <v>198.9</v>
      </c>
      <c r="I101" s="155">
        <f>ROUND(E101*H101,2)</f>
        <v>7876.44</v>
      </c>
      <c r="J101" s="156">
        <v>372.1</v>
      </c>
      <c r="K101" s="155">
        <f>ROUND(E101*J101,2)</f>
        <v>14735.16</v>
      </c>
      <c r="L101" s="155">
        <v>21</v>
      </c>
      <c r="M101" s="155">
        <f>G101*(1+L101/100)</f>
        <v>0</v>
      </c>
      <c r="N101" s="154">
        <v>2.53E-2</v>
      </c>
      <c r="O101" s="154">
        <f>ROUND(E101*N101,2)</f>
        <v>1</v>
      </c>
      <c r="P101" s="154">
        <v>0</v>
      </c>
      <c r="Q101" s="154">
        <f>ROUND(E101*P101,2)</f>
        <v>0</v>
      </c>
      <c r="R101" s="155"/>
      <c r="S101" s="155" t="s">
        <v>999</v>
      </c>
      <c r="T101" s="155" t="s">
        <v>999</v>
      </c>
      <c r="U101" s="155">
        <v>0.74</v>
      </c>
      <c r="V101" s="155">
        <f>ROUND(E101*U101,2)</f>
        <v>29.3</v>
      </c>
      <c r="W101" s="155"/>
      <c r="X101" s="155" t="s">
        <v>146</v>
      </c>
      <c r="Y101" s="155" t="s">
        <v>147</v>
      </c>
      <c r="Z101" s="145"/>
      <c r="AA101" s="145"/>
      <c r="AB101" s="145"/>
      <c r="AC101" s="145"/>
      <c r="AD101" s="145"/>
      <c r="AE101" s="145"/>
      <c r="AF101" s="145"/>
      <c r="AG101" s="145" t="s">
        <v>148</v>
      </c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5">
      <c r="A102" s="172">
        <v>50</v>
      </c>
      <c r="B102" s="173" t="s">
        <v>321</v>
      </c>
      <c r="C102" s="179" t="s">
        <v>322</v>
      </c>
      <c r="D102" s="174" t="s">
        <v>197</v>
      </c>
      <c r="E102" s="175">
        <v>39.6</v>
      </c>
      <c r="F102" s="176"/>
      <c r="G102" s="177">
        <f>ROUND(E102*F102,2)</f>
        <v>0</v>
      </c>
      <c r="H102" s="156">
        <v>26.1</v>
      </c>
      <c r="I102" s="155">
        <f>ROUND(E102*H102,2)</f>
        <v>1033.56</v>
      </c>
      <c r="J102" s="156">
        <v>35.799999999999997</v>
      </c>
      <c r="K102" s="155">
        <f>ROUND(E102*J102,2)</f>
        <v>1417.68</v>
      </c>
      <c r="L102" s="155">
        <v>21</v>
      </c>
      <c r="M102" s="155">
        <f>G102*(1+L102/100)</f>
        <v>0</v>
      </c>
      <c r="N102" s="154">
        <v>2.9999999999999997E-4</v>
      </c>
      <c r="O102" s="154">
        <f>ROUND(E102*N102,2)</f>
        <v>0.01</v>
      </c>
      <c r="P102" s="154">
        <v>0</v>
      </c>
      <c r="Q102" s="154">
        <f>ROUND(E102*P102,2)</f>
        <v>0</v>
      </c>
      <c r="R102" s="155"/>
      <c r="S102" s="155" t="s">
        <v>999</v>
      </c>
      <c r="T102" s="155" t="s">
        <v>999</v>
      </c>
      <c r="U102" s="155">
        <v>7.0000000000000007E-2</v>
      </c>
      <c r="V102" s="155">
        <f>ROUND(E102*U102,2)</f>
        <v>2.77</v>
      </c>
      <c r="W102" s="155"/>
      <c r="X102" s="155" t="s">
        <v>146</v>
      </c>
      <c r="Y102" s="155" t="s">
        <v>147</v>
      </c>
      <c r="Z102" s="145"/>
      <c r="AA102" s="145"/>
      <c r="AB102" s="145"/>
      <c r="AC102" s="145"/>
      <c r="AD102" s="145"/>
      <c r="AE102" s="145"/>
      <c r="AF102" s="145"/>
      <c r="AG102" s="145" t="s">
        <v>148</v>
      </c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5">
      <c r="A103" s="172">
        <v>51</v>
      </c>
      <c r="B103" s="173" t="s">
        <v>323</v>
      </c>
      <c r="C103" s="179" t="s">
        <v>324</v>
      </c>
      <c r="D103" s="174" t="s">
        <v>197</v>
      </c>
      <c r="E103" s="175">
        <v>39.6</v>
      </c>
      <c r="F103" s="176"/>
      <c r="G103" s="177">
        <f>ROUND(E103*F103,2)</f>
        <v>0</v>
      </c>
      <c r="H103" s="156">
        <v>50.37</v>
      </c>
      <c r="I103" s="155">
        <f>ROUND(E103*H103,2)</f>
        <v>1994.65</v>
      </c>
      <c r="J103" s="156">
        <v>140.13</v>
      </c>
      <c r="K103" s="155">
        <f>ROUND(E103*J103,2)</f>
        <v>5549.15</v>
      </c>
      <c r="L103" s="155">
        <v>21</v>
      </c>
      <c r="M103" s="155">
        <f>G103*(1+L103/100)</f>
        <v>0</v>
      </c>
      <c r="N103" s="154">
        <v>1.2E-4</v>
      </c>
      <c r="O103" s="154">
        <f>N103*E103</f>
        <v>4.7520000000000001E-3</v>
      </c>
      <c r="P103" s="154">
        <v>0</v>
      </c>
      <c r="Q103" s="154">
        <f>ROUND(E103*P103,2)</f>
        <v>0</v>
      </c>
      <c r="R103" s="155"/>
      <c r="S103" s="155" t="s">
        <v>999</v>
      </c>
      <c r="T103" s="155" t="s">
        <v>999</v>
      </c>
      <c r="U103" s="155">
        <v>0.25</v>
      </c>
      <c r="V103" s="155">
        <f>ROUND(E103*U103,2)</f>
        <v>9.9</v>
      </c>
      <c r="W103" s="155"/>
      <c r="X103" s="155" t="s">
        <v>146</v>
      </c>
      <c r="Y103" s="155" t="s">
        <v>147</v>
      </c>
      <c r="Z103" s="145"/>
      <c r="AA103" s="145"/>
      <c r="AB103" s="145"/>
      <c r="AC103" s="145"/>
      <c r="AD103" s="145"/>
      <c r="AE103" s="145"/>
      <c r="AF103" s="145"/>
      <c r="AG103" s="145" t="s">
        <v>148</v>
      </c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x14ac:dyDescent="0.25">
      <c r="A104" s="159" t="s">
        <v>139</v>
      </c>
      <c r="B104" s="160" t="s">
        <v>77</v>
      </c>
      <c r="C104" s="178" t="s">
        <v>78</v>
      </c>
      <c r="D104" s="161"/>
      <c r="E104" s="162"/>
      <c r="F104" s="163"/>
      <c r="G104" s="164">
        <f>SUMIF(AG105:AG110,"&lt;&gt;NOR",G105:G110)</f>
        <v>0</v>
      </c>
      <c r="H104" s="158"/>
      <c r="I104" s="158">
        <f>SUM(I105:I110)</f>
        <v>9843.65</v>
      </c>
      <c r="J104" s="158"/>
      <c r="K104" s="158">
        <f>SUM(K105:K110)</f>
        <v>3295.49</v>
      </c>
      <c r="L104" s="158"/>
      <c r="M104" s="158">
        <f>SUM(M105:M110)</f>
        <v>0</v>
      </c>
      <c r="N104" s="157"/>
      <c r="O104" s="157">
        <f>SUM(O105:O110)</f>
        <v>2.92</v>
      </c>
      <c r="P104" s="157"/>
      <c r="Q104" s="157">
        <f>SUM(Q105:Q110)</f>
        <v>0</v>
      </c>
      <c r="R104" s="158"/>
      <c r="S104" s="158"/>
      <c r="T104" s="158"/>
      <c r="U104" s="158"/>
      <c r="V104" s="158">
        <f>SUM(V105:V110)</f>
        <v>6.7799999999999994</v>
      </c>
      <c r="W104" s="158"/>
      <c r="X104" s="158"/>
      <c r="Y104" s="158"/>
      <c r="AG104" t="s">
        <v>140</v>
      </c>
    </row>
    <row r="105" spans="1:60" outlineLevel="1" x14ac:dyDescent="0.25">
      <c r="A105" s="166">
        <v>52</v>
      </c>
      <c r="B105" s="167" t="s">
        <v>325</v>
      </c>
      <c r="C105" s="180" t="s">
        <v>326</v>
      </c>
      <c r="D105" s="168" t="s">
        <v>201</v>
      </c>
      <c r="E105" s="169">
        <v>1.0871999999999999</v>
      </c>
      <c r="F105" s="170"/>
      <c r="G105" s="171">
        <f>ROUND(E105*F105,2)</f>
        <v>0</v>
      </c>
      <c r="H105" s="156">
        <v>2968.19</v>
      </c>
      <c r="I105" s="155">
        <f>ROUND(E105*H105,2)</f>
        <v>3227.02</v>
      </c>
      <c r="J105" s="156">
        <v>1451.81</v>
      </c>
      <c r="K105" s="155">
        <f>ROUND(E105*J105,2)</f>
        <v>1578.41</v>
      </c>
      <c r="L105" s="155">
        <v>21</v>
      </c>
      <c r="M105" s="155">
        <f>G105*(1+L105/100)</f>
        <v>0</v>
      </c>
      <c r="N105" s="154">
        <v>2.5249999999999999</v>
      </c>
      <c r="O105" s="154">
        <f>ROUND(E105*N105,2)</f>
        <v>2.75</v>
      </c>
      <c r="P105" s="154">
        <v>0</v>
      </c>
      <c r="Q105" s="154">
        <f>ROUND(E105*P105,2)</f>
        <v>0</v>
      </c>
      <c r="R105" s="155"/>
      <c r="S105" s="155" t="s">
        <v>999</v>
      </c>
      <c r="T105" s="155" t="s">
        <v>999</v>
      </c>
      <c r="U105" s="155">
        <v>3.21</v>
      </c>
      <c r="V105" s="155">
        <f>ROUND(E105*U105,2)</f>
        <v>3.49</v>
      </c>
      <c r="W105" s="155"/>
      <c r="X105" s="155" t="s">
        <v>146</v>
      </c>
      <c r="Y105" s="155" t="s">
        <v>147</v>
      </c>
      <c r="Z105" s="145"/>
      <c r="AA105" s="145"/>
      <c r="AB105" s="145"/>
      <c r="AC105" s="145"/>
      <c r="AD105" s="145"/>
      <c r="AE105" s="145"/>
      <c r="AF105" s="145"/>
      <c r="AG105" s="145" t="s">
        <v>148</v>
      </c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2" x14ac:dyDescent="0.25">
      <c r="A106" s="152"/>
      <c r="B106" s="153"/>
      <c r="C106" s="510" t="s">
        <v>327</v>
      </c>
      <c r="D106" s="511"/>
      <c r="E106" s="511"/>
      <c r="F106" s="511"/>
      <c r="G106" s="511"/>
      <c r="H106" s="155"/>
      <c r="I106" s="155"/>
      <c r="J106" s="155"/>
      <c r="K106" s="155"/>
      <c r="L106" s="155"/>
      <c r="M106" s="155"/>
      <c r="N106" s="154"/>
      <c r="O106" s="154"/>
      <c r="P106" s="154"/>
      <c r="Q106" s="154"/>
      <c r="R106" s="155"/>
      <c r="S106" s="155"/>
      <c r="T106" s="155"/>
      <c r="U106" s="155"/>
      <c r="V106" s="155"/>
      <c r="W106" s="155"/>
      <c r="X106" s="155"/>
      <c r="Y106" s="155"/>
      <c r="Z106" s="145"/>
      <c r="AA106" s="145"/>
      <c r="AB106" s="145"/>
      <c r="AC106" s="145"/>
      <c r="AD106" s="145"/>
      <c r="AE106" s="145"/>
      <c r="AF106" s="145"/>
      <c r="AG106" s="145" t="s">
        <v>225</v>
      </c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2" x14ac:dyDescent="0.25">
      <c r="A107" s="152"/>
      <c r="B107" s="153"/>
      <c r="C107" s="187" t="s">
        <v>328</v>
      </c>
      <c r="D107" s="184"/>
      <c r="E107" s="185">
        <v>1.0871999999999999</v>
      </c>
      <c r="F107" s="155"/>
      <c r="G107" s="155"/>
      <c r="H107" s="155"/>
      <c r="I107" s="155"/>
      <c r="J107" s="155"/>
      <c r="K107" s="155"/>
      <c r="L107" s="155"/>
      <c r="M107" s="155"/>
      <c r="N107" s="154"/>
      <c r="O107" s="154"/>
      <c r="P107" s="154"/>
      <c r="Q107" s="154"/>
      <c r="R107" s="155"/>
      <c r="S107" s="155"/>
      <c r="T107" s="155"/>
      <c r="U107" s="155"/>
      <c r="V107" s="155"/>
      <c r="W107" s="155"/>
      <c r="X107" s="155"/>
      <c r="Y107" s="155"/>
      <c r="Z107" s="145"/>
      <c r="AA107" s="145"/>
      <c r="AB107" s="145"/>
      <c r="AC107" s="145"/>
      <c r="AD107" s="145"/>
      <c r="AE107" s="145"/>
      <c r="AF107" s="145"/>
      <c r="AG107" s="145" t="s">
        <v>198</v>
      </c>
      <c r="AH107" s="145">
        <v>0</v>
      </c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5">
      <c r="A108" s="172">
        <v>53</v>
      </c>
      <c r="B108" s="173" t="s">
        <v>329</v>
      </c>
      <c r="C108" s="179" t="s">
        <v>330</v>
      </c>
      <c r="D108" s="174" t="s">
        <v>201</v>
      </c>
      <c r="E108" s="175">
        <v>1.0871999999999999</v>
      </c>
      <c r="F108" s="176"/>
      <c r="G108" s="177">
        <f>ROUND(E108*F108,2)</f>
        <v>0</v>
      </c>
      <c r="H108" s="156">
        <v>0</v>
      </c>
      <c r="I108" s="155">
        <f>ROUND(E108*H108,2)</f>
        <v>0</v>
      </c>
      <c r="J108" s="156">
        <v>431</v>
      </c>
      <c r="K108" s="155">
        <f>ROUND(E108*J108,2)</f>
        <v>468.58</v>
      </c>
      <c r="L108" s="155">
        <v>21</v>
      </c>
      <c r="M108" s="155">
        <f>G108*(1+L108/100)</f>
        <v>0</v>
      </c>
      <c r="N108" s="154">
        <v>0</v>
      </c>
      <c r="O108" s="154">
        <f>ROUND(E108*N108,2)</f>
        <v>0</v>
      </c>
      <c r="P108" s="154">
        <v>0</v>
      </c>
      <c r="Q108" s="154">
        <f>ROUND(E108*P108,2)</f>
        <v>0</v>
      </c>
      <c r="R108" s="155"/>
      <c r="S108" s="155" t="s">
        <v>999</v>
      </c>
      <c r="T108" s="155" t="s">
        <v>999</v>
      </c>
      <c r="U108" s="155">
        <v>0.82</v>
      </c>
      <c r="V108" s="155">
        <f>ROUND(E108*U108,2)</f>
        <v>0.89</v>
      </c>
      <c r="W108" s="155"/>
      <c r="X108" s="155" t="s">
        <v>146</v>
      </c>
      <c r="Y108" s="155" t="s">
        <v>147</v>
      </c>
      <c r="Z108" s="145"/>
      <c r="AA108" s="145"/>
      <c r="AB108" s="145"/>
      <c r="AC108" s="145"/>
      <c r="AD108" s="145"/>
      <c r="AE108" s="145"/>
      <c r="AF108" s="145"/>
      <c r="AG108" s="145" t="s">
        <v>148</v>
      </c>
      <c r="AH108" s="145"/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ht="20.399999999999999" outlineLevel="1" x14ac:dyDescent="0.25">
      <c r="A109" s="166">
        <v>54</v>
      </c>
      <c r="B109" s="167" t="s">
        <v>331</v>
      </c>
      <c r="C109" s="180" t="s">
        <v>332</v>
      </c>
      <c r="D109" s="168" t="s">
        <v>228</v>
      </c>
      <c r="E109" s="169">
        <v>0.15745999999999999</v>
      </c>
      <c r="F109" s="170"/>
      <c r="G109" s="171">
        <f>ROUND(E109*F109,2)</f>
        <v>0</v>
      </c>
      <c r="H109" s="156">
        <v>42020.99</v>
      </c>
      <c r="I109" s="155">
        <f>ROUND(E109*H109,2)</f>
        <v>6616.63</v>
      </c>
      <c r="J109" s="156">
        <v>7929.01</v>
      </c>
      <c r="K109" s="155">
        <f>ROUND(E109*J109,2)</f>
        <v>1248.5</v>
      </c>
      <c r="L109" s="155">
        <v>21</v>
      </c>
      <c r="M109" s="155">
        <f>G109*(1+L109/100)</f>
        <v>0</v>
      </c>
      <c r="N109" s="154">
        <v>1.0662499999999999</v>
      </c>
      <c r="O109" s="154">
        <f>ROUND(E109*N109,2)</f>
        <v>0.17</v>
      </c>
      <c r="P109" s="154">
        <v>0</v>
      </c>
      <c r="Q109" s="154">
        <f>ROUND(E109*P109,2)</f>
        <v>0</v>
      </c>
      <c r="R109" s="155"/>
      <c r="S109" s="155" t="s">
        <v>999</v>
      </c>
      <c r="T109" s="155" t="s">
        <v>999</v>
      </c>
      <c r="U109" s="155">
        <v>15.23</v>
      </c>
      <c r="V109" s="155">
        <f>ROUND(E109*U109,2)</f>
        <v>2.4</v>
      </c>
      <c r="W109" s="155"/>
      <c r="X109" s="155" t="s">
        <v>146</v>
      </c>
      <c r="Y109" s="155" t="s">
        <v>147</v>
      </c>
      <c r="Z109" s="145"/>
      <c r="AA109" s="145"/>
      <c r="AB109" s="145"/>
      <c r="AC109" s="145"/>
      <c r="AD109" s="145"/>
      <c r="AE109" s="145"/>
      <c r="AF109" s="145"/>
      <c r="AG109" s="145" t="s">
        <v>148</v>
      </c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2" x14ac:dyDescent="0.25">
      <c r="A110" s="152"/>
      <c r="B110" s="153"/>
      <c r="C110" s="187" t="s">
        <v>333</v>
      </c>
      <c r="D110" s="184"/>
      <c r="E110" s="185">
        <v>0.15745999999999999</v>
      </c>
      <c r="F110" s="155"/>
      <c r="G110" s="155"/>
      <c r="H110" s="155"/>
      <c r="I110" s="155"/>
      <c r="J110" s="155"/>
      <c r="K110" s="155"/>
      <c r="L110" s="155"/>
      <c r="M110" s="155"/>
      <c r="N110" s="154"/>
      <c r="O110" s="154"/>
      <c r="P110" s="154"/>
      <c r="Q110" s="154"/>
      <c r="R110" s="155"/>
      <c r="S110" s="155"/>
      <c r="T110" s="155"/>
      <c r="U110" s="155"/>
      <c r="V110" s="155"/>
      <c r="W110" s="155"/>
      <c r="X110" s="155"/>
      <c r="Y110" s="155"/>
      <c r="Z110" s="145"/>
      <c r="AA110" s="145"/>
      <c r="AB110" s="145"/>
      <c r="AC110" s="145"/>
      <c r="AD110" s="145"/>
      <c r="AE110" s="145"/>
      <c r="AF110" s="145"/>
      <c r="AG110" s="145" t="s">
        <v>198</v>
      </c>
      <c r="AH110" s="145">
        <v>0</v>
      </c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x14ac:dyDescent="0.25">
      <c r="A111" s="159" t="s">
        <v>139</v>
      </c>
      <c r="B111" s="160" t="s">
        <v>79</v>
      </c>
      <c r="C111" s="178" t="s">
        <v>80</v>
      </c>
      <c r="D111" s="161"/>
      <c r="E111" s="162"/>
      <c r="F111" s="163"/>
      <c r="G111" s="164">
        <f>SUMIF(AG112:AG116,"&lt;&gt;NOR",G112:G116)</f>
        <v>0</v>
      </c>
      <c r="H111" s="158"/>
      <c r="I111" s="158">
        <f>SUM(I112:I116)</f>
        <v>5382.95</v>
      </c>
      <c r="J111" s="158"/>
      <c r="K111" s="158">
        <f>SUM(K112:K116)</f>
        <v>27755.05</v>
      </c>
      <c r="L111" s="158"/>
      <c r="M111" s="158">
        <f>SUM(M112:M116)</f>
        <v>0</v>
      </c>
      <c r="N111" s="157"/>
      <c r="O111" s="157">
        <f>SUM(O112:O116)</f>
        <v>0.09</v>
      </c>
      <c r="P111" s="157"/>
      <c r="Q111" s="157">
        <f>SUM(Q112:Q116)</f>
        <v>0</v>
      </c>
      <c r="R111" s="158"/>
      <c r="S111" s="158"/>
      <c r="T111" s="158"/>
      <c r="U111" s="158"/>
      <c r="V111" s="158">
        <f>SUM(V112:V116)</f>
        <v>5.13</v>
      </c>
      <c r="W111" s="158"/>
      <c r="X111" s="158"/>
      <c r="Y111" s="158"/>
      <c r="AG111" t="s">
        <v>140</v>
      </c>
    </row>
    <row r="112" spans="1:60" outlineLevel="1" x14ac:dyDescent="0.25">
      <c r="A112" s="172">
        <v>55</v>
      </c>
      <c r="B112" s="173" t="s">
        <v>334</v>
      </c>
      <c r="C112" s="179" t="s">
        <v>1020</v>
      </c>
      <c r="D112" s="174" t="s">
        <v>161</v>
      </c>
      <c r="E112" s="175">
        <v>1</v>
      </c>
      <c r="F112" s="176"/>
      <c r="G112" s="177">
        <f>ROUND(E112*F112,2)</f>
        <v>0</v>
      </c>
      <c r="H112" s="156">
        <v>0</v>
      </c>
      <c r="I112" s="155">
        <f>ROUND(E112*H112,2)</f>
        <v>0</v>
      </c>
      <c r="J112" s="156">
        <v>1338</v>
      </c>
      <c r="K112" s="155">
        <f>ROUND(E112*J112,2)</f>
        <v>1338</v>
      </c>
      <c r="L112" s="155">
        <v>21</v>
      </c>
      <c r="M112" s="155">
        <f>G112*(1+L112/100)</f>
        <v>0</v>
      </c>
      <c r="N112" s="154">
        <v>2.5999999999999998E-4</v>
      </c>
      <c r="O112" s="154">
        <f>ROUND(E112*N112,2)</f>
        <v>0</v>
      </c>
      <c r="P112" s="154">
        <v>0</v>
      </c>
      <c r="Q112" s="154">
        <f>ROUND(E112*P112,2)</f>
        <v>0</v>
      </c>
      <c r="R112" s="155"/>
      <c r="S112" s="155" t="s">
        <v>144</v>
      </c>
      <c r="T112" s="155" t="s">
        <v>999</v>
      </c>
      <c r="U112" s="155">
        <v>2.4300000000000002</v>
      </c>
      <c r="V112" s="155">
        <f>ROUND(E112*U112,2)</f>
        <v>2.4300000000000002</v>
      </c>
      <c r="W112" s="155"/>
      <c r="X112" s="155" t="s">
        <v>146</v>
      </c>
      <c r="Y112" s="155" t="s">
        <v>147</v>
      </c>
      <c r="Z112" s="145"/>
      <c r="AA112" s="145"/>
      <c r="AB112" s="145"/>
      <c r="AC112" s="145"/>
      <c r="AD112" s="145"/>
      <c r="AE112" s="145"/>
      <c r="AF112" s="145"/>
      <c r="AG112" s="145" t="s">
        <v>148</v>
      </c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ht="20.399999999999999" outlineLevel="1" x14ac:dyDescent="0.25">
      <c r="A113" s="172">
        <v>56</v>
      </c>
      <c r="B113" s="173" t="s">
        <v>335</v>
      </c>
      <c r="C113" s="179" t="s">
        <v>1019</v>
      </c>
      <c r="D113" s="174" t="s">
        <v>161</v>
      </c>
      <c r="E113" s="175">
        <v>1</v>
      </c>
      <c r="F113" s="176"/>
      <c r="G113" s="177">
        <f>ROUND(E113*F113,2)</f>
        <v>0</v>
      </c>
      <c r="H113" s="156">
        <v>5065</v>
      </c>
      <c r="I113" s="155">
        <f>ROUND(E113*H113,2)</f>
        <v>5065</v>
      </c>
      <c r="J113" s="156">
        <v>0</v>
      </c>
      <c r="K113" s="155">
        <f>ROUND(E113*J113,2)</f>
        <v>0</v>
      </c>
      <c r="L113" s="155">
        <v>21</v>
      </c>
      <c r="M113" s="155">
        <f>G113*(1+L113/100)</f>
        <v>0</v>
      </c>
      <c r="N113" s="154">
        <v>2.7199999999999998E-2</v>
      </c>
      <c r="O113" s="154">
        <f>ROUND(E113*N113,2)</f>
        <v>0.03</v>
      </c>
      <c r="P113" s="154">
        <v>0</v>
      </c>
      <c r="Q113" s="154">
        <f>ROUND(E113*P113,2)</f>
        <v>0</v>
      </c>
      <c r="R113" s="155"/>
      <c r="S113" s="155" t="s">
        <v>144</v>
      </c>
      <c r="T113" s="155" t="s">
        <v>999</v>
      </c>
      <c r="U113" s="155">
        <v>0</v>
      </c>
      <c r="V113" s="155">
        <f>ROUND(E113*U113,2)</f>
        <v>0</v>
      </c>
      <c r="W113" s="155"/>
      <c r="X113" s="155" t="s">
        <v>261</v>
      </c>
      <c r="Y113" s="155" t="s">
        <v>147</v>
      </c>
      <c r="Z113" s="145"/>
      <c r="AA113" s="145"/>
      <c r="AB113" s="145"/>
      <c r="AC113" s="145"/>
      <c r="AD113" s="145"/>
      <c r="AE113" s="145"/>
      <c r="AF113" s="145"/>
      <c r="AG113" s="145" t="s">
        <v>262</v>
      </c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5">
      <c r="A114" s="172">
        <v>57</v>
      </c>
      <c r="B114" s="173" t="s">
        <v>336</v>
      </c>
      <c r="C114" s="179" t="s">
        <v>337</v>
      </c>
      <c r="D114" s="174" t="s">
        <v>161</v>
      </c>
      <c r="E114" s="175">
        <v>1</v>
      </c>
      <c r="F114" s="176"/>
      <c r="G114" s="177">
        <f>ROUND(E114*F114,2)</f>
        <v>0</v>
      </c>
      <c r="H114" s="156">
        <v>317.95</v>
      </c>
      <c r="I114" s="155">
        <f>ROUND(E114*H114,2)</f>
        <v>317.95</v>
      </c>
      <c r="J114" s="156">
        <v>677.05</v>
      </c>
      <c r="K114" s="155">
        <f>ROUND(E114*J114,2)</f>
        <v>677.05</v>
      </c>
      <c r="L114" s="155">
        <v>21</v>
      </c>
      <c r="M114" s="155">
        <f>G114*(1+L114/100)</f>
        <v>0</v>
      </c>
      <c r="N114" s="154">
        <v>1.0000000000000001E-5</v>
      </c>
      <c r="O114" s="154">
        <f>ROUND(E114*N114,2)</f>
        <v>0</v>
      </c>
      <c r="P114" s="154">
        <v>0</v>
      </c>
      <c r="Q114" s="154">
        <f>ROUND(E114*P114,2)</f>
        <v>0</v>
      </c>
      <c r="R114" s="155"/>
      <c r="S114" s="155" t="s">
        <v>999</v>
      </c>
      <c r="T114" s="155" t="s">
        <v>999</v>
      </c>
      <c r="U114" s="155">
        <v>1.2</v>
      </c>
      <c r="V114" s="155">
        <f>ROUND(E114*U114,2)</f>
        <v>1.2</v>
      </c>
      <c r="W114" s="155"/>
      <c r="X114" s="155" t="s">
        <v>146</v>
      </c>
      <c r="Y114" s="155" t="s">
        <v>147</v>
      </c>
      <c r="Z114" s="145"/>
      <c r="AA114" s="145"/>
      <c r="AB114" s="145"/>
      <c r="AC114" s="145"/>
      <c r="AD114" s="145"/>
      <c r="AE114" s="145"/>
      <c r="AF114" s="145"/>
      <c r="AG114" s="145" t="s">
        <v>148</v>
      </c>
      <c r="AH114" s="145"/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ht="30.6" outlineLevel="1" x14ac:dyDescent="0.25">
      <c r="A115" s="172">
        <v>58</v>
      </c>
      <c r="B115" s="173" t="s">
        <v>338</v>
      </c>
      <c r="C115" s="179" t="s">
        <v>339</v>
      </c>
      <c r="D115" s="174" t="s">
        <v>161</v>
      </c>
      <c r="E115" s="175">
        <v>1</v>
      </c>
      <c r="F115" s="176"/>
      <c r="G115" s="177">
        <f>ROUND(E115*F115,2)</f>
        <v>0</v>
      </c>
      <c r="H115" s="156">
        <v>0</v>
      </c>
      <c r="I115" s="155">
        <f>ROUND(E115*H115,2)</f>
        <v>0</v>
      </c>
      <c r="J115" s="156">
        <v>10530</v>
      </c>
      <c r="K115" s="155">
        <f>ROUND(E115*J115,2)</f>
        <v>10530</v>
      </c>
      <c r="L115" s="155">
        <v>21</v>
      </c>
      <c r="M115" s="155">
        <f>G115*(1+L115/100)</f>
        <v>0</v>
      </c>
      <c r="N115" s="154">
        <v>0</v>
      </c>
      <c r="O115" s="154">
        <f>ROUND(E115*N115,2)</f>
        <v>0</v>
      </c>
      <c r="P115" s="154">
        <v>0</v>
      </c>
      <c r="Q115" s="154">
        <f>ROUND(E115*P115,2)</f>
        <v>0</v>
      </c>
      <c r="R115" s="155"/>
      <c r="S115" s="155" t="s">
        <v>144</v>
      </c>
      <c r="T115" s="155" t="s">
        <v>145</v>
      </c>
      <c r="U115" s="155">
        <v>0</v>
      </c>
      <c r="V115" s="155">
        <f>ROUND(E115*U115,2)</f>
        <v>0</v>
      </c>
      <c r="W115" s="155"/>
      <c r="X115" s="155" t="s">
        <v>146</v>
      </c>
      <c r="Y115" s="155" t="s">
        <v>147</v>
      </c>
      <c r="Z115" s="145"/>
      <c r="AA115" s="145"/>
      <c r="AB115" s="145"/>
      <c r="AC115" s="145"/>
      <c r="AD115" s="145"/>
      <c r="AE115" s="145"/>
      <c r="AF115" s="145"/>
      <c r="AG115" s="145" t="s">
        <v>148</v>
      </c>
      <c r="AH115" s="145"/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ht="20.399999999999999" outlineLevel="1" x14ac:dyDescent="0.25">
      <c r="A116" s="172">
        <v>59</v>
      </c>
      <c r="B116" s="173" t="s">
        <v>340</v>
      </c>
      <c r="C116" s="179" t="s">
        <v>341</v>
      </c>
      <c r="D116" s="174" t="s">
        <v>161</v>
      </c>
      <c r="E116" s="175">
        <v>1</v>
      </c>
      <c r="F116" s="176"/>
      <c r="G116" s="177">
        <f>ROUND(E116*F116,2)</f>
        <v>0</v>
      </c>
      <c r="H116" s="156">
        <v>0</v>
      </c>
      <c r="I116" s="155">
        <f>ROUND(E116*H116,2)</f>
        <v>0</v>
      </c>
      <c r="J116" s="156">
        <v>15210</v>
      </c>
      <c r="K116" s="155">
        <f>ROUND(E116*J116,2)</f>
        <v>15210</v>
      </c>
      <c r="L116" s="155">
        <v>21</v>
      </c>
      <c r="M116" s="155">
        <f>G116*(1+L116/100)</f>
        <v>0</v>
      </c>
      <c r="N116" s="154">
        <v>5.8450000000000002E-2</v>
      </c>
      <c r="O116" s="154">
        <f>ROUND(E116*N116,2)</f>
        <v>0.06</v>
      </c>
      <c r="P116" s="154">
        <v>0</v>
      </c>
      <c r="Q116" s="154">
        <f>ROUND(E116*P116,2)</f>
        <v>0</v>
      </c>
      <c r="R116" s="155"/>
      <c r="S116" s="155" t="s">
        <v>144</v>
      </c>
      <c r="T116" s="155" t="s">
        <v>999</v>
      </c>
      <c r="U116" s="155">
        <v>1.5</v>
      </c>
      <c r="V116" s="155">
        <f>ROUND(E116*U116,2)</f>
        <v>1.5</v>
      </c>
      <c r="W116" s="155"/>
      <c r="X116" s="155" t="s">
        <v>146</v>
      </c>
      <c r="Y116" s="155" t="s">
        <v>147</v>
      </c>
      <c r="Z116" s="145"/>
      <c r="AA116" s="145"/>
      <c r="AB116" s="145"/>
      <c r="AC116" s="145"/>
      <c r="AD116" s="145"/>
      <c r="AE116" s="145"/>
      <c r="AF116" s="145"/>
      <c r="AG116" s="145" t="s">
        <v>148</v>
      </c>
      <c r="AH116" s="145"/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x14ac:dyDescent="0.25">
      <c r="A117" s="159" t="s">
        <v>139</v>
      </c>
      <c r="B117" s="160" t="s">
        <v>81</v>
      </c>
      <c r="C117" s="178" t="s">
        <v>82</v>
      </c>
      <c r="D117" s="161"/>
      <c r="E117" s="162"/>
      <c r="F117" s="163"/>
      <c r="G117" s="164">
        <f>SUMIF(AG118:AG119,"&lt;&gt;NOR",G118:G119)</f>
        <v>0</v>
      </c>
      <c r="H117" s="158"/>
      <c r="I117" s="158">
        <f>SUM(I118:I119)</f>
        <v>1928.95</v>
      </c>
      <c r="J117" s="158"/>
      <c r="K117" s="158">
        <f>SUM(K118:K119)</f>
        <v>2683.19</v>
      </c>
      <c r="L117" s="158"/>
      <c r="M117" s="158">
        <f>SUM(M118:M119)</f>
        <v>0</v>
      </c>
      <c r="N117" s="157"/>
      <c r="O117" s="157">
        <f>SUM(O118:O119)</f>
        <v>0.04</v>
      </c>
      <c r="P117" s="157"/>
      <c r="Q117" s="157">
        <f>SUM(Q118:Q119)</f>
        <v>0</v>
      </c>
      <c r="R117" s="158"/>
      <c r="S117" s="158"/>
      <c r="T117" s="158"/>
      <c r="U117" s="158"/>
      <c r="V117" s="158">
        <f>SUM(V118:V119)</f>
        <v>5.52</v>
      </c>
      <c r="W117" s="158"/>
      <c r="X117" s="158"/>
      <c r="Y117" s="158"/>
      <c r="AG117" t="s">
        <v>140</v>
      </c>
    </row>
    <row r="118" spans="1:60" outlineLevel="1" x14ac:dyDescent="0.25">
      <c r="A118" s="166">
        <v>60</v>
      </c>
      <c r="B118" s="167" t="s">
        <v>342</v>
      </c>
      <c r="C118" s="180" t="s">
        <v>343</v>
      </c>
      <c r="D118" s="168" t="s">
        <v>197</v>
      </c>
      <c r="E118" s="169">
        <v>26.28</v>
      </c>
      <c r="F118" s="170"/>
      <c r="G118" s="171">
        <f>ROUND(E118*F118,2)</f>
        <v>0</v>
      </c>
      <c r="H118" s="156">
        <v>73.400000000000006</v>
      </c>
      <c r="I118" s="155">
        <f>ROUND(E118*H118,2)</f>
        <v>1928.95</v>
      </c>
      <c r="J118" s="156">
        <v>102.1</v>
      </c>
      <c r="K118" s="155">
        <f>ROUND(E118*J118,2)</f>
        <v>2683.19</v>
      </c>
      <c r="L118" s="155">
        <v>21</v>
      </c>
      <c r="M118" s="155">
        <f>G118*(1+L118/100)</f>
        <v>0</v>
      </c>
      <c r="N118" s="154">
        <v>1.58E-3</v>
      </c>
      <c r="O118" s="154">
        <f>ROUND(E118*N118,2)</f>
        <v>0.04</v>
      </c>
      <c r="P118" s="154">
        <v>0</v>
      </c>
      <c r="Q118" s="154">
        <f>ROUND(E118*P118,2)</f>
        <v>0</v>
      </c>
      <c r="R118" s="155"/>
      <c r="S118" s="155" t="s">
        <v>999</v>
      </c>
      <c r="T118" s="155" t="s">
        <v>999</v>
      </c>
      <c r="U118" s="155">
        <v>0.21</v>
      </c>
      <c r="V118" s="155">
        <f>ROUND(E118*U118,2)</f>
        <v>5.52</v>
      </c>
      <c r="W118" s="155"/>
      <c r="X118" s="155" t="s">
        <v>146</v>
      </c>
      <c r="Y118" s="155" t="s">
        <v>147</v>
      </c>
      <c r="Z118" s="145"/>
      <c r="AA118" s="145"/>
      <c r="AB118" s="145"/>
      <c r="AC118" s="145"/>
      <c r="AD118" s="145"/>
      <c r="AE118" s="145"/>
      <c r="AF118" s="145"/>
      <c r="AG118" s="145" t="s">
        <v>148</v>
      </c>
      <c r="AH118" s="145"/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2" x14ac:dyDescent="0.25">
      <c r="A119" s="152"/>
      <c r="B119" s="153"/>
      <c r="C119" s="187" t="s">
        <v>344</v>
      </c>
      <c r="D119" s="184"/>
      <c r="E119" s="185">
        <v>26.28</v>
      </c>
      <c r="F119" s="155"/>
      <c r="G119" s="155"/>
      <c r="H119" s="155"/>
      <c r="I119" s="155"/>
      <c r="J119" s="155"/>
      <c r="K119" s="155"/>
      <c r="L119" s="155"/>
      <c r="M119" s="155"/>
      <c r="N119" s="154"/>
      <c r="O119" s="154"/>
      <c r="P119" s="154"/>
      <c r="Q119" s="154"/>
      <c r="R119" s="155"/>
      <c r="S119" s="155"/>
      <c r="T119" s="155"/>
      <c r="U119" s="155"/>
      <c r="V119" s="155"/>
      <c r="W119" s="155"/>
      <c r="X119" s="155"/>
      <c r="Y119" s="155"/>
      <c r="Z119" s="145"/>
      <c r="AA119" s="145"/>
      <c r="AB119" s="145"/>
      <c r="AC119" s="145"/>
      <c r="AD119" s="145"/>
      <c r="AE119" s="145"/>
      <c r="AF119" s="145"/>
      <c r="AG119" s="145" t="s">
        <v>198</v>
      </c>
      <c r="AH119" s="145">
        <v>0</v>
      </c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x14ac:dyDescent="0.25">
      <c r="A120" s="159" t="s">
        <v>139</v>
      </c>
      <c r="B120" s="160" t="s">
        <v>83</v>
      </c>
      <c r="C120" s="178" t="s">
        <v>84</v>
      </c>
      <c r="D120" s="161"/>
      <c r="E120" s="162"/>
      <c r="F120" s="163"/>
      <c r="G120" s="164">
        <f>SUMIF(AG121:AG160,"&lt;&gt;NOR",G121:G160)</f>
        <v>0</v>
      </c>
      <c r="H120" s="158"/>
      <c r="I120" s="158">
        <f>SUM(I121:I160)</f>
        <v>0</v>
      </c>
      <c r="J120" s="158"/>
      <c r="K120" s="158">
        <f>SUM(K121:K160)</f>
        <v>61172.2</v>
      </c>
      <c r="L120" s="158"/>
      <c r="M120" s="158">
        <f>SUM(M121:M160)</f>
        <v>0</v>
      </c>
      <c r="N120" s="157"/>
      <c r="O120" s="157">
        <f>SUM(O121:O160)</f>
        <v>0</v>
      </c>
      <c r="P120" s="157"/>
      <c r="Q120" s="157">
        <f>SUM(Q121:Q160)</f>
        <v>0</v>
      </c>
      <c r="R120" s="158"/>
      <c r="S120" s="158"/>
      <c r="T120" s="158"/>
      <c r="U120" s="158"/>
      <c r="V120" s="158">
        <f>SUM(V121:V160)</f>
        <v>129.34</v>
      </c>
      <c r="W120" s="158"/>
      <c r="X120" s="158"/>
      <c r="Y120" s="158"/>
      <c r="AG120" t="s">
        <v>140</v>
      </c>
    </row>
    <row r="121" spans="1:60" outlineLevel="1" x14ac:dyDescent="0.25">
      <c r="A121" s="166">
        <v>61</v>
      </c>
      <c r="B121" s="167" t="s">
        <v>345</v>
      </c>
      <c r="C121" s="180" t="s">
        <v>346</v>
      </c>
      <c r="D121" s="168" t="s">
        <v>228</v>
      </c>
      <c r="E121" s="169">
        <f>SUM(E122:E160)</f>
        <v>152.16965458599995</v>
      </c>
      <c r="F121" s="170"/>
      <c r="G121" s="171">
        <f>ROUND(E121*F121,2)</f>
        <v>0</v>
      </c>
      <c r="H121" s="156">
        <v>0</v>
      </c>
      <c r="I121" s="155">
        <f>ROUND(E121*H121,2)</f>
        <v>0</v>
      </c>
      <c r="J121" s="156">
        <v>402</v>
      </c>
      <c r="K121" s="155">
        <f>ROUND(E121*J121,2)</f>
        <v>61172.2</v>
      </c>
      <c r="L121" s="155">
        <v>21</v>
      </c>
      <c r="M121" s="155">
        <f>G121*(1+L121/100)</f>
        <v>0</v>
      </c>
      <c r="N121" s="154">
        <v>0</v>
      </c>
      <c r="O121" s="154">
        <f>ROUND(E121*N121,2)</f>
        <v>0</v>
      </c>
      <c r="P121" s="154">
        <v>0</v>
      </c>
      <c r="Q121" s="154">
        <f>ROUND(E121*P121,2)</f>
        <v>0</v>
      </c>
      <c r="R121" s="155"/>
      <c r="S121" s="155" t="s">
        <v>999</v>
      </c>
      <c r="T121" s="155" t="s">
        <v>999</v>
      </c>
      <c r="U121" s="155">
        <v>0.85</v>
      </c>
      <c r="V121" s="155">
        <f>ROUND(E121*U121,2)</f>
        <v>129.34</v>
      </c>
      <c r="W121" s="155"/>
      <c r="X121" s="155" t="s">
        <v>146</v>
      </c>
      <c r="Y121" s="155" t="s">
        <v>147</v>
      </c>
      <c r="Z121" s="145"/>
      <c r="AA121" s="145"/>
      <c r="AB121" s="145"/>
      <c r="AC121" s="145"/>
      <c r="AD121" s="145"/>
      <c r="AE121" s="145"/>
      <c r="AF121" s="145"/>
      <c r="AG121" s="145" t="s">
        <v>148</v>
      </c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2" x14ac:dyDescent="0.25">
      <c r="A122" s="152"/>
      <c r="B122" s="153"/>
      <c r="C122" s="187" t="s">
        <v>1059</v>
      </c>
      <c r="D122" s="184"/>
      <c r="E122" s="185">
        <f>O25</f>
        <v>46.52</v>
      </c>
      <c r="F122" s="155"/>
      <c r="G122" s="155"/>
      <c r="H122" s="155"/>
      <c r="I122" s="155"/>
      <c r="J122" s="155"/>
      <c r="K122" s="155"/>
      <c r="L122" s="155"/>
      <c r="M122" s="155"/>
      <c r="N122" s="154"/>
      <c r="O122" s="154"/>
      <c r="P122" s="154"/>
      <c r="Q122" s="154"/>
      <c r="R122" s="155"/>
      <c r="S122" s="155"/>
      <c r="T122" s="155"/>
      <c r="U122" s="155"/>
      <c r="V122" s="155"/>
      <c r="W122" s="155"/>
      <c r="X122" s="155"/>
      <c r="Y122" s="155"/>
      <c r="Z122" s="145"/>
      <c r="AA122" s="145"/>
      <c r="AB122" s="145"/>
      <c r="AC122" s="145"/>
      <c r="AD122" s="145"/>
      <c r="AE122" s="145"/>
      <c r="AF122" s="145"/>
      <c r="AG122" s="145" t="s">
        <v>198</v>
      </c>
      <c r="AH122" s="145">
        <v>6</v>
      </c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3" x14ac:dyDescent="0.25">
      <c r="A123" s="152"/>
      <c r="B123" s="153"/>
      <c r="C123" s="187" t="s">
        <v>1058</v>
      </c>
      <c r="D123" s="184"/>
      <c r="E123" s="185">
        <f>O27</f>
        <v>0.32</v>
      </c>
      <c r="F123" s="155"/>
      <c r="G123" s="155"/>
      <c r="H123" s="155"/>
      <c r="I123" s="155"/>
      <c r="J123" s="155"/>
      <c r="K123" s="155"/>
      <c r="L123" s="155"/>
      <c r="M123" s="155"/>
      <c r="N123" s="154"/>
      <c r="O123" s="154"/>
      <c r="P123" s="154"/>
      <c r="Q123" s="154"/>
      <c r="R123" s="155"/>
      <c r="S123" s="155"/>
      <c r="T123" s="155"/>
      <c r="U123" s="155"/>
      <c r="V123" s="155"/>
      <c r="W123" s="155"/>
      <c r="X123" s="155"/>
      <c r="Y123" s="155"/>
      <c r="Z123" s="145"/>
      <c r="AA123" s="145"/>
      <c r="AB123" s="145"/>
      <c r="AC123" s="145"/>
      <c r="AD123" s="145"/>
      <c r="AE123" s="145"/>
      <c r="AF123" s="145"/>
      <c r="AG123" s="145" t="s">
        <v>198</v>
      </c>
      <c r="AH123" s="145">
        <v>6</v>
      </c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3" x14ac:dyDescent="0.25">
      <c r="A124" s="152"/>
      <c r="B124" s="153"/>
      <c r="C124" s="187" t="s">
        <v>1057</v>
      </c>
      <c r="D124" s="184"/>
      <c r="E124" s="185">
        <f>O32</f>
        <v>2.0699999999999998</v>
      </c>
      <c r="F124" s="155"/>
      <c r="G124" s="155"/>
      <c r="H124" s="155"/>
      <c r="I124" s="155"/>
      <c r="J124" s="155"/>
      <c r="K124" s="155"/>
      <c r="L124" s="155"/>
      <c r="M124" s="155"/>
      <c r="N124" s="154"/>
      <c r="O124" s="154"/>
      <c r="P124" s="154"/>
      <c r="Q124" s="154"/>
      <c r="R124" s="155"/>
      <c r="S124" s="155"/>
      <c r="T124" s="155"/>
      <c r="U124" s="155"/>
      <c r="V124" s="155"/>
      <c r="W124" s="155"/>
      <c r="X124" s="155"/>
      <c r="Y124" s="155"/>
      <c r="Z124" s="145"/>
      <c r="AA124" s="145"/>
      <c r="AB124" s="145"/>
      <c r="AC124" s="145"/>
      <c r="AD124" s="145"/>
      <c r="AE124" s="145"/>
      <c r="AF124" s="145"/>
      <c r="AG124" s="145" t="s">
        <v>198</v>
      </c>
      <c r="AH124" s="145">
        <v>6</v>
      </c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3" x14ac:dyDescent="0.25">
      <c r="A125" s="152"/>
      <c r="B125" s="153"/>
      <c r="C125" s="187" t="s">
        <v>1061</v>
      </c>
      <c r="D125" s="184"/>
      <c r="E125" s="185">
        <f>O34</f>
        <v>36.090000000000003</v>
      </c>
      <c r="F125" s="155"/>
      <c r="G125" s="155"/>
      <c r="H125" s="155"/>
      <c r="I125" s="155"/>
      <c r="J125" s="155"/>
      <c r="K125" s="155"/>
      <c r="L125" s="155"/>
      <c r="M125" s="155"/>
      <c r="N125" s="154"/>
      <c r="O125" s="154"/>
      <c r="P125" s="154"/>
      <c r="Q125" s="154"/>
      <c r="R125" s="155"/>
      <c r="S125" s="155"/>
      <c r="T125" s="155"/>
      <c r="U125" s="155"/>
      <c r="V125" s="155"/>
      <c r="W125" s="155"/>
      <c r="X125" s="155"/>
      <c r="Y125" s="155"/>
      <c r="Z125" s="145"/>
      <c r="AA125" s="145"/>
      <c r="AB125" s="145"/>
      <c r="AC125" s="145"/>
      <c r="AD125" s="145"/>
      <c r="AE125" s="145"/>
      <c r="AF125" s="145"/>
      <c r="AG125" s="145" t="s">
        <v>198</v>
      </c>
      <c r="AH125" s="145">
        <v>6</v>
      </c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3" x14ac:dyDescent="0.25">
      <c r="A126" s="152"/>
      <c r="B126" s="153"/>
      <c r="C126" s="187" t="s">
        <v>1056</v>
      </c>
      <c r="D126" s="184"/>
      <c r="E126" s="185">
        <f>O36</f>
        <v>17.02</v>
      </c>
      <c r="F126" s="155"/>
      <c r="G126" s="155"/>
      <c r="H126" s="155"/>
      <c r="I126" s="155"/>
      <c r="J126" s="155"/>
      <c r="K126" s="155"/>
      <c r="L126" s="155"/>
      <c r="M126" s="155"/>
      <c r="N126" s="154"/>
      <c r="O126" s="154"/>
      <c r="P126" s="154"/>
      <c r="Q126" s="154"/>
      <c r="R126" s="155"/>
      <c r="S126" s="155"/>
      <c r="T126" s="155"/>
      <c r="U126" s="155"/>
      <c r="V126" s="155"/>
      <c r="W126" s="155"/>
      <c r="X126" s="155"/>
      <c r="Y126" s="155"/>
      <c r="Z126" s="145"/>
      <c r="AA126" s="145"/>
      <c r="AB126" s="145"/>
      <c r="AC126" s="145"/>
      <c r="AD126" s="145"/>
      <c r="AE126" s="145"/>
      <c r="AF126" s="145"/>
      <c r="AG126" s="145" t="s">
        <v>198</v>
      </c>
      <c r="AH126" s="145">
        <v>6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3" x14ac:dyDescent="0.25">
      <c r="A127" s="152"/>
      <c r="B127" s="153"/>
      <c r="C127" s="187" t="s">
        <v>1088</v>
      </c>
      <c r="D127" s="184"/>
      <c r="E127" s="185">
        <f>O38</f>
        <v>0.23</v>
      </c>
      <c r="F127" s="155"/>
      <c r="G127" s="155"/>
      <c r="H127" s="155"/>
      <c r="I127" s="155"/>
      <c r="J127" s="155"/>
      <c r="K127" s="155"/>
      <c r="L127" s="155"/>
      <c r="M127" s="155"/>
      <c r="N127" s="154"/>
      <c r="O127" s="154"/>
      <c r="P127" s="154"/>
      <c r="Q127" s="154"/>
      <c r="R127" s="155"/>
      <c r="S127" s="155"/>
      <c r="T127" s="155"/>
      <c r="U127" s="155"/>
      <c r="V127" s="155"/>
      <c r="W127" s="155"/>
      <c r="X127" s="155"/>
      <c r="Y127" s="155"/>
      <c r="Z127" s="145"/>
      <c r="AA127" s="145"/>
      <c r="AB127" s="145"/>
      <c r="AC127" s="145"/>
      <c r="AD127" s="145"/>
      <c r="AE127" s="145"/>
      <c r="AF127" s="145"/>
      <c r="AG127" s="145" t="s">
        <v>198</v>
      </c>
      <c r="AH127" s="145">
        <v>6</v>
      </c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3" x14ac:dyDescent="0.25">
      <c r="A128" s="152"/>
      <c r="B128" s="153"/>
      <c r="C128" s="187" t="s">
        <v>1087</v>
      </c>
      <c r="D128" s="184"/>
      <c r="E128" s="185">
        <f>O41</f>
        <v>13.77</v>
      </c>
      <c r="F128" s="155"/>
      <c r="G128" s="155"/>
      <c r="H128" s="155"/>
      <c r="I128" s="155"/>
      <c r="J128" s="155"/>
      <c r="K128" s="155"/>
      <c r="L128" s="155"/>
      <c r="M128" s="155"/>
      <c r="N128" s="154"/>
      <c r="O128" s="154"/>
      <c r="P128" s="154"/>
      <c r="Q128" s="154"/>
      <c r="R128" s="155"/>
      <c r="S128" s="155"/>
      <c r="T128" s="155"/>
      <c r="U128" s="155"/>
      <c r="V128" s="155"/>
      <c r="W128" s="155"/>
      <c r="X128" s="155"/>
      <c r="Y128" s="155"/>
      <c r="Z128" s="145"/>
      <c r="AA128" s="145"/>
      <c r="AB128" s="145"/>
      <c r="AC128" s="145"/>
      <c r="AD128" s="145"/>
      <c r="AE128" s="145"/>
      <c r="AF128" s="145"/>
      <c r="AG128" s="145" t="s">
        <v>198</v>
      </c>
      <c r="AH128" s="145">
        <v>6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3" x14ac:dyDescent="0.25">
      <c r="A129" s="152"/>
      <c r="B129" s="153"/>
      <c r="C129" s="187" t="s">
        <v>1054</v>
      </c>
      <c r="D129" s="184"/>
      <c r="E129" s="185">
        <f>O43</f>
        <v>1.5</v>
      </c>
      <c r="F129" s="155"/>
      <c r="G129" s="155"/>
      <c r="H129" s="155"/>
      <c r="I129" s="155"/>
      <c r="J129" s="155"/>
      <c r="K129" s="155"/>
      <c r="L129" s="155"/>
      <c r="M129" s="155"/>
      <c r="N129" s="154"/>
      <c r="O129" s="154"/>
      <c r="P129" s="154"/>
      <c r="Q129" s="154"/>
      <c r="R129" s="155"/>
      <c r="S129" s="155"/>
      <c r="T129" s="155"/>
      <c r="U129" s="155"/>
      <c r="V129" s="155"/>
      <c r="W129" s="155"/>
      <c r="X129" s="155"/>
      <c r="Y129" s="155"/>
      <c r="Z129" s="145"/>
      <c r="AA129" s="145"/>
      <c r="AB129" s="145"/>
      <c r="AC129" s="145"/>
      <c r="AD129" s="145"/>
      <c r="AE129" s="145"/>
      <c r="AF129" s="145"/>
      <c r="AG129" s="145"/>
      <c r="AH129" s="145"/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3" x14ac:dyDescent="0.25">
      <c r="A130" s="152"/>
      <c r="B130" s="153"/>
      <c r="C130" s="187" t="s">
        <v>1055</v>
      </c>
      <c r="D130" s="184"/>
      <c r="E130" s="185">
        <f>O44</f>
        <v>1.2</v>
      </c>
      <c r="F130" s="155"/>
      <c r="G130" s="155"/>
      <c r="H130" s="155"/>
      <c r="I130" s="155"/>
      <c r="J130" s="155"/>
      <c r="K130" s="155"/>
      <c r="L130" s="155"/>
      <c r="M130" s="155"/>
      <c r="N130" s="154"/>
      <c r="O130" s="154"/>
      <c r="P130" s="154"/>
      <c r="Q130" s="154"/>
      <c r="R130" s="155"/>
      <c r="S130" s="155"/>
      <c r="T130" s="155"/>
      <c r="U130" s="155"/>
      <c r="V130" s="155"/>
      <c r="W130" s="155"/>
      <c r="X130" s="155"/>
      <c r="Y130" s="155"/>
      <c r="Z130" s="145"/>
      <c r="AA130" s="145"/>
      <c r="AB130" s="145"/>
      <c r="AC130" s="145"/>
      <c r="AD130" s="145"/>
      <c r="AE130" s="145"/>
      <c r="AF130" s="145"/>
      <c r="AG130" s="145"/>
      <c r="AH130" s="145"/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3" x14ac:dyDescent="0.25">
      <c r="A131" s="152"/>
      <c r="B131" s="153"/>
      <c r="C131" s="187" t="s">
        <v>1086</v>
      </c>
      <c r="D131" s="184"/>
      <c r="E131" s="185">
        <f>O45</f>
        <v>6.29</v>
      </c>
      <c r="F131" s="155"/>
      <c r="G131" s="155"/>
      <c r="H131" s="155"/>
      <c r="I131" s="155"/>
      <c r="J131" s="155"/>
      <c r="K131" s="155"/>
      <c r="L131" s="155"/>
      <c r="M131" s="155"/>
      <c r="N131" s="154"/>
      <c r="O131" s="154"/>
      <c r="P131" s="154"/>
      <c r="Q131" s="154"/>
      <c r="R131" s="155"/>
      <c r="S131" s="155"/>
      <c r="T131" s="155"/>
      <c r="U131" s="155"/>
      <c r="V131" s="155"/>
      <c r="W131" s="155"/>
      <c r="X131" s="155"/>
      <c r="Y131" s="155"/>
      <c r="Z131" s="145"/>
      <c r="AA131" s="145"/>
      <c r="AB131" s="145"/>
      <c r="AC131" s="145"/>
      <c r="AD131" s="145"/>
      <c r="AE131" s="145"/>
      <c r="AF131" s="145"/>
      <c r="AG131" s="145" t="s">
        <v>198</v>
      </c>
      <c r="AH131" s="145">
        <v>6</v>
      </c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3" x14ac:dyDescent="0.25">
      <c r="A132" s="152"/>
      <c r="B132" s="153"/>
      <c r="C132" s="187" t="s">
        <v>1085</v>
      </c>
      <c r="D132" s="184"/>
      <c r="E132" s="185">
        <f>O49</f>
        <v>1.07</v>
      </c>
      <c r="F132" s="155"/>
      <c r="G132" s="155"/>
      <c r="H132" s="155"/>
      <c r="I132" s="155"/>
      <c r="J132" s="155"/>
      <c r="K132" s="155"/>
      <c r="L132" s="155"/>
      <c r="M132" s="155"/>
      <c r="N132" s="154"/>
      <c r="O132" s="154"/>
      <c r="P132" s="154"/>
      <c r="Q132" s="154"/>
      <c r="R132" s="155"/>
      <c r="S132" s="155"/>
      <c r="T132" s="155"/>
      <c r="U132" s="155"/>
      <c r="V132" s="155"/>
      <c r="W132" s="155"/>
      <c r="X132" s="155"/>
      <c r="Y132" s="155"/>
      <c r="Z132" s="145"/>
      <c r="AA132" s="145"/>
      <c r="AB132" s="145"/>
      <c r="AC132" s="145"/>
      <c r="AD132" s="145"/>
      <c r="AE132" s="145"/>
      <c r="AF132" s="145"/>
      <c r="AG132" s="145" t="s">
        <v>198</v>
      </c>
      <c r="AH132" s="145">
        <v>6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3" x14ac:dyDescent="0.25">
      <c r="A133" s="152"/>
      <c r="B133" s="153"/>
      <c r="C133" s="187" t="s">
        <v>1060</v>
      </c>
      <c r="D133" s="184"/>
      <c r="E133" s="185">
        <f>O51</f>
        <v>0.04</v>
      </c>
      <c r="F133" s="155"/>
      <c r="G133" s="155"/>
      <c r="H133" s="155"/>
      <c r="I133" s="155"/>
      <c r="J133" s="155"/>
      <c r="K133" s="155"/>
      <c r="L133" s="155"/>
      <c r="M133" s="155"/>
      <c r="N133" s="154"/>
      <c r="O133" s="154"/>
      <c r="P133" s="154"/>
      <c r="Q133" s="154"/>
      <c r="R133" s="155"/>
      <c r="S133" s="155"/>
      <c r="T133" s="155"/>
      <c r="U133" s="155"/>
      <c r="V133" s="155"/>
      <c r="W133" s="155"/>
      <c r="X133" s="155"/>
      <c r="Y133" s="15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3" x14ac:dyDescent="0.25">
      <c r="A134" s="152"/>
      <c r="B134" s="153"/>
      <c r="C134" s="187" t="s">
        <v>1084</v>
      </c>
      <c r="D134" s="184"/>
      <c r="E134" s="185">
        <v>0.77</v>
      </c>
      <c r="F134" s="155"/>
      <c r="G134" s="155"/>
      <c r="H134" s="155"/>
      <c r="I134" s="155"/>
      <c r="J134" s="155"/>
      <c r="K134" s="155"/>
      <c r="L134" s="155"/>
      <c r="M134" s="155"/>
      <c r="N134" s="154"/>
      <c r="O134" s="154"/>
      <c r="P134" s="154"/>
      <c r="Q134" s="154"/>
      <c r="R134" s="155"/>
      <c r="S134" s="155"/>
      <c r="T134" s="155"/>
      <c r="U134" s="155"/>
      <c r="V134" s="155"/>
      <c r="W134" s="155"/>
      <c r="X134" s="155"/>
      <c r="Y134" s="155"/>
      <c r="Z134" s="145"/>
      <c r="AA134" s="145"/>
      <c r="AB134" s="145"/>
      <c r="AC134" s="145"/>
      <c r="AD134" s="145"/>
      <c r="AE134" s="145"/>
      <c r="AF134" s="145"/>
      <c r="AG134" s="145" t="s">
        <v>198</v>
      </c>
      <c r="AH134" s="145">
        <v>6</v>
      </c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3" x14ac:dyDescent="0.25">
      <c r="A135" s="152"/>
      <c r="B135" s="153"/>
      <c r="C135" s="187" t="s">
        <v>1083</v>
      </c>
      <c r="D135" s="184"/>
      <c r="E135" s="185">
        <f>O55</f>
        <v>0.23</v>
      </c>
      <c r="F135" s="155"/>
      <c r="G135" s="155"/>
      <c r="H135" s="155"/>
      <c r="I135" s="155"/>
      <c r="J135" s="155"/>
      <c r="K135" s="155"/>
      <c r="L135" s="155"/>
      <c r="M135" s="155"/>
      <c r="N135" s="154"/>
      <c r="O135" s="154"/>
      <c r="P135" s="154"/>
      <c r="Q135" s="154"/>
      <c r="R135" s="155"/>
      <c r="S135" s="155"/>
      <c r="T135" s="155"/>
      <c r="U135" s="155"/>
      <c r="V135" s="155"/>
      <c r="W135" s="155"/>
      <c r="X135" s="155"/>
      <c r="Y135" s="155"/>
      <c r="Z135" s="145"/>
      <c r="AA135" s="145"/>
      <c r="AB135" s="145"/>
      <c r="AC135" s="145"/>
      <c r="AD135" s="145"/>
      <c r="AE135" s="145"/>
      <c r="AF135" s="145"/>
      <c r="AG135" s="145" t="s">
        <v>198</v>
      </c>
      <c r="AH135" s="145">
        <v>6</v>
      </c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outlineLevel="3" x14ac:dyDescent="0.25">
      <c r="A136" s="152"/>
      <c r="B136" s="153"/>
      <c r="C136" s="187" t="s">
        <v>347</v>
      </c>
      <c r="D136" s="184"/>
      <c r="E136" s="185">
        <f>O57</f>
        <v>4.9025859999999996E-3</v>
      </c>
      <c r="F136" s="155"/>
      <c r="G136" s="155"/>
      <c r="H136" s="155"/>
      <c r="I136" s="155"/>
      <c r="J136" s="155"/>
      <c r="K136" s="155"/>
      <c r="L136" s="155"/>
      <c r="M136" s="155"/>
      <c r="N136" s="154"/>
      <c r="O136" s="154"/>
      <c r="P136" s="154"/>
      <c r="Q136" s="154"/>
      <c r="R136" s="155"/>
      <c r="S136" s="155"/>
      <c r="T136" s="155"/>
      <c r="U136" s="155"/>
      <c r="V136" s="155"/>
      <c r="W136" s="155"/>
      <c r="X136" s="155"/>
      <c r="Y136" s="155"/>
      <c r="Z136" s="145"/>
      <c r="AA136" s="145"/>
      <c r="AB136" s="145"/>
      <c r="AC136" s="145"/>
      <c r="AD136" s="145"/>
      <c r="AE136" s="145"/>
      <c r="AF136" s="145"/>
      <c r="AG136" s="145" t="s">
        <v>198</v>
      </c>
      <c r="AH136" s="145">
        <v>6</v>
      </c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3" x14ac:dyDescent="0.25">
      <c r="A137" s="152"/>
      <c r="B137" s="153"/>
      <c r="C137" s="187" t="s">
        <v>1082</v>
      </c>
      <c r="D137" s="184"/>
      <c r="E137" s="185">
        <f>O60</f>
        <v>0.41</v>
      </c>
      <c r="F137" s="155"/>
      <c r="G137" s="155"/>
      <c r="H137" s="155"/>
      <c r="I137" s="155"/>
      <c r="J137" s="155"/>
      <c r="K137" s="155"/>
      <c r="L137" s="155"/>
      <c r="M137" s="155"/>
      <c r="N137" s="154"/>
      <c r="O137" s="154"/>
      <c r="P137" s="154"/>
      <c r="Q137" s="154"/>
      <c r="R137" s="155"/>
      <c r="S137" s="155"/>
      <c r="T137" s="155"/>
      <c r="U137" s="155"/>
      <c r="V137" s="155"/>
      <c r="W137" s="155"/>
      <c r="X137" s="155"/>
      <c r="Y137" s="155"/>
      <c r="Z137" s="145"/>
      <c r="AA137" s="145"/>
      <c r="AB137" s="145"/>
      <c r="AC137" s="145"/>
      <c r="AD137" s="145"/>
      <c r="AE137" s="145"/>
      <c r="AF137" s="145"/>
      <c r="AG137" s="145" t="s">
        <v>198</v>
      </c>
      <c r="AH137" s="145">
        <v>6</v>
      </c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outlineLevel="3" x14ac:dyDescent="0.25">
      <c r="A138" s="152"/>
      <c r="B138" s="153"/>
      <c r="C138" s="187" t="s">
        <v>1081</v>
      </c>
      <c r="D138" s="184"/>
      <c r="E138" s="185">
        <f>O62</f>
        <v>0.02</v>
      </c>
      <c r="F138" s="155"/>
      <c r="G138" s="155"/>
      <c r="H138" s="155"/>
      <c r="I138" s="155"/>
      <c r="J138" s="155"/>
      <c r="K138" s="155"/>
      <c r="L138" s="155"/>
      <c r="M138" s="155"/>
      <c r="N138" s="154"/>
      <c r="O138" s="154"/>
      <c r="P138" s="154"/>
      <c r="Q138" s="154"/>
      <c r="R138" s="155"/>
      <c r="S138" s="155"/>
      <c r="T138" s="155"/>
      <c r="U138" s="155"/>
      <c r="V138" s="155"/>
      <c r="W138" s="155"/>
      <c r="X138" s="155"/>
      <c r="Y138" s="155"/>
      <c r="Z138" s="145"/>
      <c r="AA138" s="145"/>
      <c r="AB138" s="145"/>
      <c r="AC138" s="145"/>
      <c r="AD138" s="145"/>
      <c r="AE138" s="145"/>
      <c r="AF138" s="145"/>
      <c r="AG138" s="145" t="s">
        <v>198</v>
      </c>
      <c r="AH138" s="145">
        <v>6</v>
      </c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  <c r="BD138" s="145"/>
      <c r="BE138" s="145"/>
      <c r="BF138" s="145"/>
      <c r="BG138" s="145"/>
      <c r="BH138" s="145"/>
    </row>
    <row r="139" spans="1:60" outlineLevel="3" x14ac:dyDescent="0.25">
      <c r="A139" s="152"/>
      <c r="B139" s="153"/>
      <c r="C139" s="187" t="s">
        <v>1080</v>
      </c>
      <c r="D139" s="184"/>
      <c r="E139" s="185">
        <f>O67</f>
        <v>0.03</v>
      </c>
      <c r="F139" s="155"/>
      <c r="G139" s="155"/>
      <c r="H139" s="155"/>
      <c r="I139" s="155"/>
      <c r="J139" s="155"/>
      <c r="K139" s="155"/>
      <c r="L139" s="155"/>
      <c r="M139" s="155"/>
      <c r="N139" s="154"/>
      <c r="O139" s="154"/>
      <c r="P139" s="154"/>
      <c r="Q139" s="154"/>
      <c r="R139" s="155"/>
      <c r="S139" s="155"/>
      <c r="T139" s="155"/>
      <c r="U139" s="155"/>
      <c r="V139" s="155"/>
      <c r="W139" s="155"/>
      <c r="X139" s="155"/>
      <c r="Y139" s="155"/>
      <c r="Z139" s="145"/>
      <c r="AA139" s="145"/>
      <c r="AB139" s="145"/>
      <c r="AC139" s="145"/>
      <c r="AD139" s="145"/>
      <c r="AE139" s="145"/>
      <c r="AF139" s="145"/>
      <c r="AG139" s="145" t="s">
        <v>198</v>
      </c>
      <c r="AH139" s="145">
        <v>6</v>
      </c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3" x14ac:dyDescent="0.25">
      <c r="A140" s="152"/>
      <c r="B140" s="153"/>
      <c r="C140" s="187" t="s">
        <v>1079</v>
      </c>
      <c r="D140" s="184"/>
      <c r="E140" s="185">
        <f>O69</f>
        <v>2.82</v>
      </c>
      <c r="F140" s="155"/>
      <c r="G140" s="155"/>
      <c r="H140" s="155"/>
      <c r="I140" s="155"/>
      <c r="J140" s="155"/>
      <c r="K140" s="155"/>
      <c r="L140" s="155"/>
      <c r="M140" s="155"/>
      <c r="N140" s="154"/>
      <c r="O140" s="154"/>
      <c r="P140" s="154"/>
      <c r="Q140" s="154"/>
      <c r="R140" s="155"/>
      <c r="S140" s="155"/>
      <c r="T140" s="155"/>
      <c r="U140" s="155"/>
      <c r="V140" s="155"/>
      <c r="W140" s="155"/>
      <c r="X140" s="155"/>
      <c r="Y140" s="155"/>
      <c r="Z140" s="145"/>
      <c r="AA140" s="145"/>
      <c r="AB140" s="145"/>
      <c r="AC140" s="145"/>
      <c r="AD140" s="145"/>
      <c r="AE140" s="145"/>
      <c r="AF140" s="145"/>
      <c r="AG140" s="145" t="s">
        <v>198</v>
      </c>
      <c r="AH140" s="145">
        <v>6</v>
      </c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outlineLevel="3" x14ac:dyDescent="0.25">
      <c r="A141" s="152"/>
      <c r="B141" s="153"/>
      <c r="C141" s="187" t="s">
        <v>1078</v>
      </c>
      <c r="D141" s="184"/>
      <c r="E141" s="185">
        <f>O71</f>
        <v>0.02</v>
      </c>
      <c r="F141" s="155"/>
      <c r="G141" s="155"/>
      <c r="H141" s="155"/>
      <c r="I141" s="155"/>
      <c r="J141" s="155"/>
      <c r="K141" s="155"/>
      <c r="L141" s="155"/>
      <c r="M141" s="155"/>
      <c r="N141" s="154"/>
      <c r="O141" s="154"/>
      <c r="P141" s="154"/>
      <c r="Q141" s="154"/>
      <c r="R141" s="155"/>
      <c r="S141" s="155"/>
      <c r="T141" s="155"/>
      <c r="U141" s="155"/>
      <c r="V141" s="155"/>
      <c r="W141" s="155"/>
      <c r="X141" s="155"/>
      <c r="Y141" s="155"/>
      <c r="Z141" s="145"/>
      <c r="AA141" s="145"/>
      <c r="AB141" s="145"/>
      <c r="AC141" s="145"/>
      <c r="AD141" s="145"/>
      <c r="AE141" s="145"/>
      <c r="AF141" s="145"/>
      <c r="AG141" s="145" t="s">
        <v>198</v>
      </c>
      <c r="AH141" s="145">
        <v>6</v>
      </c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3" x14ac:dyDescent="0.25">
      <c r="A142" s="152"/>
      <c r="B142" s="153"/>
      <c r="C142" s="187" t="s">
        <v>1077</v>
      </c>
      <c r="D142" s="184"/>
      <c r="E142" s="185">
        <f>O73</f>
        <v>4.7</v>
      </c>
      <c r="F142" s="155"/>
      <c r="G142" s="155"/>
      <c r="H142" s="155"/>
      <c r="I142" s="155"/>
      <c r="J142" s="155"/>
      <c r="K142" s="155"/>
      <c r="L142" s="155"/>
      <c r="M142" s="155"/>
      <c r="N142" s="154"/>
      <c r="O142" s="154"/>
      <c r="P142" s="154"/>
      <c r="Q142" s="154"/>
      <c r="R142" s="155"/>
      <c r="S142" s="155"/>
      <c r="T142" s="155"/>
      <c r="U142" s="155"/>
      <c r="V142" s="155"/>
      <c r="W142" s="155"/>
      <c r="X142" s="155"/>
      <c r="Y142" s="155"/>
      <c r="Z142" s="145"/>
      <c r="AA142" s="145"/>
      <c r="AB142" s="145"/>
      <c r="AC142" s="145"/>
      <c r="AD142" s="145"/>
      <c r="AE142" s="145"/>
      <c r="AF142" s="145"/>
      <c r="AG142" s="145" t="s">
        <v>198</v>
      </c>
      <c r="AH142" s="145">
        <v>6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3" x14ac:dyDescent="0.25">
      <c r="A143" s="152"/>
      <c r="B143" s="153"/>
      <c r="C143" s="187" t="s">
        <v>1076</v>
      </c>
      <c r="D143" s="184"/>
      <c r="E143" s="185">
        <f>O77</f>
        <v>0.27</v>
      </c>
      <c r="F143" s="155"/>
      <c r="G143" s="155"/>
      <c r="H143" s="155"/>
      <c r="I143" s="155"/>
      <c r="J143" s="155"/>
      <c r="K143" s="155"/>
      <c r="L143" s="155"/>
      <c r="M143" s="155"/>
      <c r="N143" s="154"/>
      <c r="O143" s="154"/>
      <c r="P143" s="154"/>
      <c r="Q143" s="154"/>
      <c r="R143" s="155"/>
      <c r="S143" s="155"/>
      <c r="T143" s="155"/>
      <c r="U143" s="155"/>
      <c r="V143" s="155"/>
      <c r="W143" s="155"/>
      <c r="X143" s="155"/>
      <c r="Y143" s="155"/>
      <c r="Z143" s="145"/>
      <c r="AA143" s="145"/>
      <c r="AB143" s="145"/>
      <c r="AC143" s="145"/>
      <c r="AD143" s="145"/>
      <c r="AE143" s="145"/>
      <c r="AF143" s="145"/>
      <c r="AG143" s="145" t="s">
        <v>198</v>
      </c>
      <c r="AH143" s="145">
        <v>6</v>
      </c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3" x14ac:dyDescent="0.25">
      <c r="A144" s="152"/>
      <c r="B144" s="153"/>
      <c r="C144" s="187" t="s">
        <v>1075</v>
      </c>
      <c r="D144" s="184"/>
      <c r="E144" s="185">
        <f>O79</f>
        <v>1.94</v>
      </c>
      <c r="F144" s="155"/>
      <c r="G144" s="155"/>
      <c r="H144" s="155"/>
      <c r="I144" s="155"/>
      <c r="J144" s="155"/>
      <c r="K144" s="155"/>
      <c r="L144" s="155"/>
      <c r="M144" s="155"/>
      <c r="N144" s="154"/>
      <c r="O144" s="154"/>
      <c r="P144" s="154"/>
      <c r="Q144" s="154"/>
      <c r="R144" s="155"/>
      <c r="S144" s="155"/>
      <c r="T144" s="155"/>
      <c r="U144" s="155"/>
      <c r="V144" s="155"/>
      <c r="W144" s="155"/>
      <c r="X144" s="155"/>
      <c r="Y144" s="155"/>
      <c r="Z144" s="145"/>
      <c r="AA144" s="145"/>
      <c r="AB144" s="145"/>
      <c r="AC144" s="145"/>
      <c r="AD144" s="145"/>
      <c r="AE144" s="145"/>
      <c r="AF144" s="145"/>
      <c r="AG144" s="145" t="s">
        <v>198</v>
      </c>
      <c r="AH144" s="145">
        <v>6</v>
      </c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3" x14ac:dyDescent="0.25">
      <c r="A145" s="152"/>
      <c r="B145" s="153"/>
      <c r="C145" s="187" t="s">
        <v>1053</v>
      </c>
      <c r="D145" s="184"/>
      <c r="E145" s="185">
        <f>O86</f>
        <v>0.28999999999999998</v>
      </c>
      <c r="F145" s="155"/>
      <c r="G145" s="155"/>
      <c r="H145" s="155"/>
      <c r="I145" s="155"/>
      <c r="J145" s="155"/>
      <c r="K145" s="155"/>
      <c r="L145" s="155"/>
      <c r="M145" s="155"/>
      <c r="N145" s="154"/>
      <c r="O145" s="154"/>
      <c r="P145" s="154"/>
      <c r="Q145" s="154"/>
      <c r="R145" s="155"/>
      <c r="S145" s="155"/>
      <c r="T145" s="155"/>
      <c r="U145" s="155"/>
      <c r="V145" s="155"/>
      <c r="W145" s="155"/>
      <c r="X145" s="155"/>
      <c r="Y145" s="155"/>
      <c r="Z145" s="145"/>
      <c r="AA145" s="145"/>
      <c r="AB145" s="145"/>
      <c r="AC145" s="145"/>
      <c r="AD145" s="145"/>
      <c r="AE145" s="145"/>
      <c r="AF145" s="145"/>
      <c r="AG145" s="145" t="s">
        <v>198</v>
      </c>
      <c r="AH145" s="145">
        <v>6</v>
      </c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3" x14ac:dyDescent="0.25">
      <c r="A146" s="152"/>
      <c r="B146" s="153"/>
      <c r="C146" s="187" t="s">
        <v>1074</v>
      </c>
      <c r="D146" s="184"/>
      <c r="E146" s="185">
        <f t="shared" ref="E146:E152" si="9">O89</f>
        <v>0.02</v>
      </c>
      <c r="F146" s="155"/>
      <c r="G146" s="155"/>
      <c r="H146" s="155"/>
      <c r="I146" s="155"/>
      <c r="J146" s="155"/>
      <c r="K146" s="155"/>
      <c r="L146" s="155"/>
      <c r="M146" s="155"/>
      <c r="N146" s="154"/>
      <c r="O146" s="154"/>
      <c r="P146" s="154"/>
      <c r="Q146" s="154"/>
      <c r="R146" s="155"/>
      <c r="S146" s="155"/>
      <c r="T146" s="155"/>
      <c r="U146" s="155"/>
      <c r="V146" s="155"/>
      <c r="W146" s="155"/>
      <c r="X146" s="155"/>
      <c r="Y146" s="155"/>
      <c r="Z146" s="145"/>
      <c r="AA146" s="145"/>
      <c r="AB146" s="145"/>
      <c r="AC146" s="145"/>
      <c r="AD146" s="145"/>
      <c r="AE146" s="145"/>
      <c r="AF146" s="145"/>
      <c r="AG146" s="145" t="s">
        <v>198</v>
      </c>
      <c r="AH146" s="145">
        <v>6</v>
      </c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3" x14ac:dyDescent="0.25">
      <c r="A147" s="152"/>
      <c r="B147" s="153"/>
      <c r="C147" s="187" t="s">
        <v>1073</v>
      </c>
      <c r="D147" s="184"/>
      <c r="E147" s="185">
        <f t="shared" si="9"/>
        <v>0.34</v>
      </c>
      <c r="F147" s="155"/>
      <c r="G147" s="155"/>
      <c r="H147" s="155"/>
      <c r="I147" s="155"/>
      <c r="J147" s="155"/>
      <c r="K147" s="155"/>
      <c r="L147" s="155"/>
      <c r="M147" s="155"/>
      <c r="N147" s="154"/>
      <c r="O147" s="154"/>
      <c r="P147" s="154"/>
      <c r="Q147" s="154"/>
      <c r="R147" s="155"/>
      <c r="S147" s="155"/>
      <c r="T147" s="155"/>
      <c r="U147" s="155"/>
      <c r="V147" s="155"/>
      <c r="W147" s="155"/>
      <c r="X147" s="155"/>
      <c r="Y147" s="155"/>
      <c r="Z147" s="145"/>
      <c r="AA147" s="145"/>
      <c r="AB147" s="145"/>
      <c r="AC147" s="145"/>
      <c r="AD147" s="145"/>
      <c r="AE147" s="145"/>
      <c r="AF147" s="145"/>
      <c r="AG147" s="145" t="s">
        <v>198</v>
      </c>
      <c r="AH147" s="145">
        <v>6</v>
      </c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3" x14ac:dyDescent="0.25">
      <c r="A148" s="152"/>
      <c r="B148" s="153"/>
      <c r="C148" s="187" t="s">
        <v>1072</v>
      </c>
      <c r="D148" s="184"/>
      <c r="E148" s="185">
        <f t="shared" si="9"/>
        <v>1.1000000000000001</v>
      </c>
      <c r="F148" s="155"/>
      <c r="G148" s="155"/>
      <c r="H148" s="155"/>
      <c r="I148" s="155"/>
      <c r="J148" s="155"/>
      <c r="K148" s="155"/>
      <c r="L148" s="155"/>
      <c r="M148" s="155"/>
      <c r="N148" s="154"/>
      <c r="O148" s="154"/>
      <c r="P148" s="154"/>
      <c r="Q148" s="154"/>
      <c r="R148" s="155"/>
      <c r="S148" s="155"/>
      <c r="T148" s="155"/>
      <c r="U148" s="155"/>
      <c r="V148" s="155"/>
      <c r="W148" s="155"/>
      <c r="X148" s="155"/>
      <c r="Y148" s="155"/>
      <c r="Z148" s="145"/>
      <c r="AA148" s="145"/>
      <c r="AB148" s="145"/>
      <c r="AC148" s="145"/>
      <c r="AD148" s="145"/>
      <c r="AE148" s="145"/>
      <c r="AF148" s="145"/>
      <c r="AG148" s="145" t="s">
        <v>198</v>
      </c>
      <c r="AH148" s="145">
        <v>6</v>
      </c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3" x14ac:dyDescent="0.25">
      <c r="A149" s="152"/>
      <c r="B149" s="153"/>
      <c r="C149" s="187" t="s">
        <v>1071</v>
      </c>
      <c r="D149" s="184"/>
      <c r="E149" s="185">
        <f t="shared" si="9"/>
        <v>0.23</v>
      </c>
      <c r="F149" s="155"/>
      <c r="G149" s="155"/>
      <c r="H149" s="155"/>
      <c r="I149" s="155"/>
      <c r="J149" s="155"/>
      <c r="K149" s="155"/>
      <c r="L149" s="155"/>
      <c r="M149" s="155"/>
      <c r="N149" s="154"/>
      <c r="O149" s="154"/>
      <c r="P149" s="154"/>
      <c r="Q149" s="154"/>
      <c r="R149" s="155"/>
      <c r="S149" s="155"/>
      <c r="T149" s="155"/>
      <c r="U149" s="155"/>
      <c r="V149" s="155"/>
      <c r="W149" s="155"/>
      <c r="X149" s="155"/>
      <c r="Y149" s="155"/>
      <c r="Z149" s="145"/>
      <c r="AA149" s="145"/>
      <c r="AB149" s="145"/>
      <c r="AC149" s="145"/>
      <c r="AD149" s="145"/>
      <c r="AE149" s="145"/>
      <c r="AF149" s="145"/>
      <c r="AG149" s="145" t="s">
        <v>198</v>
      </c>
      <c r="AH149" s="145">
        <v>6</v>
      </c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3" x14ac:dyDescent="0.25">
      <c r="A150" s="152"/>
      <c r="B150" s="153"/>
      <c r="C150" s="187" t="s">
        <v>1070</v>
      </c>
      <c r="D150" s="184"/>
      <c r="E150" s="185">
        <f t="shared" si="9"/>
        <v>0.11</v>
      </c>
      <c r="F150" s="155"/>
      <c r="G150" s="155"/>
      <c r="H150" s="155"/>
      <c r="I150" s="155"/>
      <c r="J150" s="155"/>
      <c r="K150" s="155"/>
      <c r="L150" s="155"/>
      <c r="M150" s="155"/>
      <c r="N150" s="154"/>
      <c r="O150" s="154"/>
      <c r="P150" s="154"/>
      <c r="Q150" s="154"/>
      <c r="R150" s="155"/>
      <c r="S150" s="155"/>
      <c r="T150" s="155"/>
      <c r="U150" s="155"/>
      <c r="V150" s="155"/>
      <c r="W150" s="155"/>
      <c r="X150" s="155"/>
      <c r="Y150" s="155"/>
      <c r="Z150" s="145"/>
      <c r="AA150" s="145"/>
      <c r="AB150" s="145"/>
      <c r="AC150" s="145"/>
      <c r="AD150" s="145"/>
      <c r="AE150" s="145"/>
      <c r="AF150" s="145"/>
      <c r="AG150" s="145" t="s">
        <v>198</v>
      </c>
      <c r="AH150" s="145">
        <v>6</v>
      </c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outlineLevel="3" x14ac:dyDescent="0.25">
      <c r="A151" s="152"/>
      <c r="B151" s="153"/>
      <c r="C151" s="187" t="s">
        <v>1069</v>
      </c>
      <c r="D151" s="184"/>
      <c r="E151" s="185">
        <f t="shared" si="9"/>
        <v>0.01</v>
      </c>
      <c r="F151" s="155"/>
      <c r="G151" s="155"/>
      <c r="H151" s="155"/>
      <c r="I151" s="155"/>
      <c r="J151" s="155"/>
      <c r="K151" s="155"/>
      <c r="L151" s="155"/>
      <c r="M151" s="155"/>
      <c r="N151" s="154"/>
      <c r="O151" s="154"/>
      <c r="P151" s="154"/>
      <c r="Q151" s="154"/>
      <c r="R151" s="155"/>
      <c r="S151" s="155"/>
      <c r="T151" s="155"/>
      <c r="U151" s="155"/>
      <c r="V151" s="155"/>
      <c r="W151" s="155"/>
      <c r="X151" s="155"/>
      <c r="Y151" s="155"/>
      <c r="Z151" s="145"/>
      <c r="AA151" s="145"/>
      <c r="AB151" s="145"/>
      <c r="AC151" s="145"/>
      <c r="AD151" s="145"/>
      <c r="AE151" s="145"/>
      <c r="AF151" s="145"/>
      <c r="AG151" s="145" t="s">
        <v>198</v>
      </c>
      <c r="AH151" s="145">
        <v>6</v>
      </c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45"/>
      <c r="BB151" s="145"/>
      <c r="BC151" s="145"/>
      <c r="BD151" s="145"/>
      <c r="BE151" s="145"/>
      <c r="BF151" s="145"/>
      <c r="BG151" s="145"/>
      <c r="BH151" s="145"/>
    </row>
    <row r="152" spans="1:60" outlineLevel="3" x14ac:dyDescent="0.25">
      <c r="A152" s="152"/>
      <c r="B152" s="153"/>
      <c r="C152" s="187" t="s">
        <v>1068</v>
      </c>
      <c r="D152" s="184"/>
      <c r="E152" s="185">
        <f t="shared" si="9"/>
        <v>0.01</v>
      </c>
      <c r="F152" s="155"/>
      <c r="G152" s="155"/>
      <c r="H152" s="155"/>
      <c r="I152" s="155"/>
      <c r="J152" s="155"/>
      <c r="K152" s="155"/>
      <c r="L152" s="155"/>
      <c r="M152" s="155"/>
      <c r="N152" s="154"/>
      <c r="O152" s="154"/>
      <c r="P152" s="154"/>
      <c r="Q152" s="154"/>
      <c r="R152" s="155"/>
      <c r="S152" s="155"/>
      <c r="T152" s="155"/>
      <c r="U152" s="155"/>
      <c r="V152" s="155"/>
      <c r="W152" s="155"/>
      <c r="X152" s="155"/>
      <c r="Y152" s="155"/>
      <c r="Z152" s="145"/>
      <c r="AA152" s="145"/>
      <c r="AB152" s="145"/>
      <c r="AC152" s="145"/>
      <c r="AD152" s="145"/>
      <c r="AE152" s="145"/>
      <c r="AF152" s="145"/>
      <c r="AG152" s="145" t="s">
        <v>198</v>
      </c>
      <c r="AH152" s="145">
        <v>6</v>
      </c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3" x14ac:dyDescent="0.25">
      <c r="A153" s="152"/>
      <c r="B153" s="153"/>
      <c r="C153" s="187" t="s">
        <v>348</v>
      </c>
      <c r="D153" s="184"/>
      <c r="E153" s="185">
        <f>O97</f>
        <v>6.36</v>
      </c>
      <c r="F153" s="155"/>
      <c r="G153" s="155"/>
      <c r="H153" s="155"/>
      <c r="I153" s="155"/>
      <c r="J153" s="155"/>
      <c r="K153" s="155"/>
      <c r="L153" s="155"/>
      <c r="M153" s="155"/>
      <c r="N153" s="154"/>
      <c r="O153" s="154"/>
      <c r="P153" s="154"/>
      <c r="Q153" s="154"/>
      <c r="R153" s="155"/>
      <c r="S153" s="155"/>
      <c r="T153" s="155"/>
      <c r="U153" s="155"/>
      <c r="V153" s="155"/>
      <c r="W153" s="155"/>
      <c r="X153" s="155"/>
      <c r="Y153" s="155"/>
      <c r="Z153" s="145"/>
      <c r="AA153" s="145"/>
      <c r="AB153" s="145"/>
      <c r="AC153" s="145"/>
      <c r="AD153" s="145"/>
      <c r="AE153" s="145"/>
      <c r="AF153" s="145"/>
      <c r="AG153" s="145" t="s">
        <v>198</v>
      </c>
      <c r="AH153" s="145">
        <v>6</v>
      </c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3" x14ac:dyDescent="0.25">
      <c r="A154" s="152"/>
      <c r="B154" s="153"/>
      <c r="C154" s="187" t="s">
        <v>1062</v>
      </c>
      <c r="D154" s="184"/>
      <c r="E154" s="185">
        <f>O98</f>
        <v>2.39</v>
      </c>
      <c r="F154" s="155"/>
      <c r="G154" s="155"/>
      <c r="H154" s="155"/>
      <c r="I154" s="155"/>
      <c r="J154" s="155"/>
      <c r="K154" s="155"/>
      <c r="L154" s="155"/>
      <c r="M154" s="155"/>
      <c r="N154" s="154"/>
      <c r="O154" s="154"/>
      <c r="P154" s="154"/>
      <c r="Q154" s="154"/>
      <c r="R154" s="155"/>
      <c r="S154" s="155"/>
      <c r="T154" s="155"/>
      <c r="U154" s="155"/>
      <c r="V154" s="155"/>
      <c r="W154" s="155"/>
      <c r="X154" s="155"/>
      <c r="Y154" s="155"/>
      <c r="Z154" s="145"/>
      <c r="AA154" s="145"/>
      <c r="AB154" s="145"/>
      <c r="AC154" s="145"/>
      <c r="AD154" s="145"/>
      <c r="AE154" s="145"/>
      <c r="AF154" s="145"/>
      <c r="AG154" s="145" t="s">
        <v>198</v>
      </c>
      <c r="AH154" s="145">
        <v>6</v>
      </c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3" x14ac:dyDescent="0.25">
      <c r="A155" s="152"/>
      <c r="B155" s="153"/>
      <c r="C155" s="187" t="s">
        <v>1063</v>
      </c>
      <c r="D155" s="184"/>
      <c r="E155" s="185">
        <f>O99</f>
        <v>0.04</v>
      </c>
      <c r="F155" s="155"/>
      <c r="G155" s="155"/>
      <c r="H155" s="155"/>
      <c r="I155" s="155"/>
      <c r="J155" s="155"/>
      <c r="K155" s="155"/>
      <c r="L155" s="155"/>
      <c r="M155" s="155"/>
      <c r="N155" s="154"/>
      <c r="O155" s="154"/>
      <c r="P155" s="154"/>
      <c r="Q155" s="154"/>
      <c r="R155" s="155"/>
      <c r="S155" s="155"/>
      <c r="T155" s="155"/>
      <c r="U155" s="155"/>
      <c r="V155" s="155"/>
      <c r="W155" s="155"/>
      <c r="X155" s="155"/>
      <c r="Y155" s="155"/>
      <c r="Z155" s="145"/>
      <c r="AA155" s="145"/>
      <c r="AB155" s="145"/>
      <c r="AC155" s="145"/>
      <c r="AD155" s="145"/>
      <c r="AE155" s="145"/>
      <c r="AF155" s="145"/>
      <c r="AG155" s="145" t="s">
        <v>198</v>
      </c>
      <c r="AH155" s="145">
        <v>6</v>
      </c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outlineLevel="3" x14ac:dyDescent="0.25">
      <c r="A156" s="152"/>
      <c r="B156" s="153"/>
      <c r="C156" s="187" t="s">
        <v>1064</v>
      </c>
      <c r="D156" s="184"/>
      <c r="E156" s="185">
        <f>O101</f>
        <v>1</v>
      </c>
      <c r="F156" s="155"/>
      <c r="G156" s="155"/>
      <c r="H156" s="155"/>
      <c r="I156" s="155"/>
      <c r="J156" s="155"/>
      <c r="K156" s="155"/>
      <c r="L156" s="155"/>
      <c r="M156" s="155"/>
      <c r="N156" s="154"/>
      <c r="O156" s="154"/>
      <c r="P156" s="154"/>
      <c r="Q156" s="154"/>
      <c r="R156" s="155"/>
      <c r="S156" s="155"/>
      <c r="T156" s="155"/>
      <c r="U156" s="155"/>
      <c r="V156" s="155"/>
      <c r="W156" s="155"/>
      <c r="X156" s="155"/>
      <c r="Y156" s="155"/>
      <c r="Z156" s="145"/>
      <c r="AA156" s="145"/>
      <c r="AB156" s="145"/>
      <c r="AC156" s="145"/>
      <c r="AD156" s="145"/>
      <c r="AE156" s="145"/>
      <c r="AF156" s="145"/>
      <c r="AG156" s="145" t="s">
        <v>198</v>
      </c>
      <c r="AH156" s="145">
        <v>6</v>
      </c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3" x14ac:dyDescent="0.25">
      <c r="A157" s="152"/>
      <c r="B157" s="153"/>
      <c r="C157" s="187" t="s">
        <v>1065</v>
      </c>
      <c r="D157" s="184"/>
      <c r="E157" s="185">
        <f>O102</f>
        <v>0.01</v>
      </c>
      <c r="F157" s="155"/>
      <c r="G157" s="155"/>
      <c r="H157" s="155"/>
      <c r="I157" s="155"/>
      <c r="J157" s="155"/>
      <c r="K157" s="155"/>
      <c r="L157" s="155"/>
      <c r="M157" s="155"/>
      <c r="N157" s="154"/>
      <c r="O157" s="154"/>
      <c r="P157" s="154"/>
      <c r="Q157" s="154"/>
      <c r="R157" s="155"/>
      <c r="S157" s="155"/>
      <c r="T157" s="155"/>
      <c r="U157" s="155"/>
      <c r="V157" s="155"/>
      <c r="W157" s="155"/>
      <c r="X157" s="155"/>
      <c r="Y157" s="155"/>
      <c r="Z157" s="145"/>
      <c r="AA157" s="145"/>
      <c r="AB157" s="145"/>
      <c r="AC157" s="145"/>
      <c r="AD157" s="145"/>
      <c r="AE157" s="145"/>
      <c r="AF157" s="145"/>
      <c r="AG157" s="145" t="s">
        <v>198</v>
      </c>
      <c r="AH157" s="145">
        <v>6</v>
      </c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3" x14ac:dyDescent="0.25">
      <c r="A158" s="152"/>
      <c r="B158" s="153"/>
      <c r="C158" s="187" t="s">
        <v>349</v>
      </c>
      <c r="D158" s="184"/>
      <c r="E158" s="185">
        <f>O103</f>
        <v>4.7520000000000001E-3</v>
      </c>
      <c r="F158" s="155"/>
      <c r="G158" s="155"/>
      <c r="H158" s="155"/>
      <c r="I158" s="155"/>
      <c r="J158" s="155"/>
      <c r="K158" s="155"/>
      <c r="L158" s="155"/>
      <c r="M158" s="155"/>
      <c r="N158" s="154"/>
      <c r="O158" s="154"/>
      <c r="P158" s="154"/>
      <c r="Q158" s="154"/>
      <c r="R158" s="155"/>
      <c r="S158" s="155"/>
      <c r="T158" s="155"/>
      <c r="U158" s="155"/>
      <c r="V158" s="155"/>
      <c r="W158" s="155"/>
      <c r="X158" s="155"/>
      <c r="Y158" s="155"/>
      <c r="Z158" s="145"/>
      <c r="AA158" s="145"/>
      <c r="AB158" s="145"/>
      <c r="AC158" s="145"/>
      <c r="AD158" s="145"/>
      <c r="AE158" s="145"/>
      <c r="AF158" s="145"/>
      <c r="AG158" s="145" t="s">
        <v>198</v>
      </c>
      <c r="AH158" s="145">
        <v>6</v>
      </c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3" x14ac:dyDescent="0.25">
      <c r="A159" s="152"/>
      <c r="B159" s="153"/>
      <c r="C159" s="187" t="s">
        <v>1066</v>
      </c>
      <c r="D159" s="184"/>
      <c r="E159" s="185">
        <f>O105</f>
        <v>2.75</v>
      </c>
      <c r="F159" s="155"/>
      <c r="G159" s="155"/>
      <c r="H159" s="155"/>
      <c r="I159" s="155"/>
      <c r="J159" s="155"/>
      <c r="K159" s="155"/>
      <c r="L159" s="155"/>
      <c r="M159" s="155"/>
      <c r="N159" s="154"/>
      <c r="O159" s="154"/>
      <c r="P159" s="154"/>
      <c r="Q159" s="154"/>
      <c r="R159" s="155"/>
      <c r="S159" s="155"/>
      <c r="T159" s="155"/>
      <c r="U159" s="155"/>
      <c r="V159" s="155"/>
      <c r="W159" s="155"/>
      <c r="X159" s="155"/>
      <c r="Y159" s="155"/>
      <c r="Z159" s="145"/>
      <c r="AA159" s="145"/>
      <c r="AB159" s="145"/>
      <c r="AC159" s="145"/>
      <c r="AD159" s="145"/>
      <c r="AE159" s="145"/>
      <c r="AF159" s="145"/>
      <c r="AG159" s="145" t="s">
        <v>198</v>
      </c>
      <c r="AH159" s="145">
        <v>6</v>
      </c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outlineLevel="3" x14ac:dyDescent="0.25">
      <c r="A160" s="152"/>
      <c r="B160" s="153"/>
      <c r="C160" s="187" t="s">
        <v>1067</v>
      </c>
      <c r="D160" s="184"/>
      <c r="E160" s="185">
        <f>O109</f>
        <v>0.17</v>
      </c>
      <c r="F160" s="155"/>
      <c r="G160" s="155"/>
      <c r="H160" s="155"/>
      <c r="I160" s="155"/>
      <c r="J160" s="155"/>
      <c r="K160" s="155"/>
      <c r="L160" s="155"/>
      <c r="M160" s="155"/>
      <c r="N160" s="154"/>
      <c r="O160" s="154"/>
      <c r="P160" s="154"/>
      <c r="Q160" s="154"/>
      <c r="R160" s="155"/>
      <c r="S160" s="155"/>
      <c r="T160" s="155"/>
      <c r="U160" s="155"/>
      <c r="V160" s="155"/>
      <c r="W160" s="155"/>
      <c r="X160" s="155"/>
      <c r="Y160" s="155"/>
      <c r="Z160" s="145"/>
      <c r="AA160" s="145"/>
      <c r="AB160" s="145"/>
      <c r="AC160" s="145"/>
      <c r="AD160" s="145"/>
      <c r="AE160" s="145"/>
      <c r="AF160" s="145"/>
      <c r="AG160" s="145" t="s">
        <v>198</v>
      </c>
      <c r="AH160" s="145">
        <v>6</v>
      </c>
      <c r="AI160" s="145"/>
      <c r="AJ160" s="145"/>
      <c r="AK160" s="145"/>
      <c r="AL160" s="145"/>
      <c r="AM160" s="145"/>
      <c r="AN160" s="145"/>
      <c r="AO160" s="145"/>
      <c r="AP160" s="145"/>
      <c r="AQ160" s="145"/>
      <c r="AR160" s="145"/>
      <c r="AS160" s="145"/>
      <c r="AT160" s="145"/>
      <c r="AU160" s="145"/>
      <c r="AV160" s="145"/>
      <c r="AW160" s="145"/>
      <c r="AX160" s="145"/>
      <c r="AY160" s="145"/>
      <c r="AZ160" s="145"/>
      <c r="BA160" s="145"/>
      <c r="BB160" s="145"/>
      <c r="BC160" s="145"/>
      <c r="BD160" s="145"/>
      <c r="BE160" s="145"/>
      <c r="BF160" s="145"/>
      <c r="BG160" s="145"/>
      <c r="BH160" s="145"/>
    </row>
    <row r="161" spans="1:60" x14ac:dyDescent="0.25">
      <c r="A161" s="159" t="s">
        <v>139</v>
      </c>
      <c r="B161" s="160" t="s">
        <v>85</v>
      </c>
      <c r="C161" s="178" t="s">
        <v>86</v>
      </c>
      <c r="D161" s="161"/>
      <c r="E161" s="162"/>
      <c r="F161" s="163"/>
      <c r="G161" s="164">
        <f>SUMIF(AG162:AG196,"&lt;&gt;NOR",G162:G196)</f>
        <v>0</v>
      </c>
      <c r="H161" s="158"/>
      <c r="I161" s="158">
        <f>SUM(I162:I196)</f>
        <v>57889.460000000006</v>
      </c>
      <c r="J161" s="158"/>
      <c r="K161" s="158">
        <f>SUM(K162:K196)</f>
        <v>31212.86</v>
      </c>
      <c r="L161" s="158"/>
      <c r="M161" s="158">
        <f>SUM(M162:M196)</f>
        <v>0</v>
      </c>
      <c r="N161" s="157"/>
      <c r="O161" s="157">
        <f>SUM(O162:O196)</f>
        <v>0.67</v>
      </c>
      <c r="P161" s="157"/>
      <c r="Q161" s="157">
        <f>SUM(Q162:Q196)</f>
        <v>0</v>
      </c>
      <c r="R161" s="158"/>
      <c r="S161" s="158"/>
      <c r="T161" s="158"/>
      <c r="U161" s="158"/>
      <c r="V161" s="158">
        <f>SUM(V162:V196)</f>
        <v>68.62</v>
      </c>
      <c r="W161" s="158"/>
      <c r="X161" s="158"/>
      <c r="Y161" s="158"/>
      <c r="AG161" t="s">
        <v>140</v>
      </c>
    </row>
    <row r="162" spans="1:60" ht="20.399999999999999" outlineLevel="1" x14ac:dyDescent="0.25">
      <c r="A162" s="166">
        <v>62</v>
      </c>
      <c r="B162" s="167" t="s">
        <v>350</v>
      </c>
      <c r="C162" s="180" t="s">
        <v>351</v>
      </c>
      <c r="D162" s="168" t="s">
        <v>197</v>
      </c>
      <c r="E162" s="169">
        <v>1.95</v>
      </c>
      <c r="F162" s="170"/>
      <c r="G162" s="171">
        <f>ROUND(E162*F162,2)</f>
        <v>0</v>
      </c>
      <c r="H162" s="156">
        <v>431.42</v>
      </c>
      <c r="I162" s="155">
        <f>ROUND(E162*H162,2)</f>
        <v>841.27</v>
      </c>
      <c r="J162" s="156">
        <v>209.58</v>
      </c>
      <c r="K162" s="155">
        <f>ROUND(E162*J162,2)</f>
        <v>408.68</v>
      </c>
      <c r="L162" s="155">
        <v>21</v>
      </c>
      <c r="M162" s="155">
        <f>G162*(1+L162/100)</f>
        <v>0</v>
      </c>
      <c r="N162" s="154">
        <v>3.3999999999999998E-3</v>
      </c>
      <c r="O162" s="154">
        <f>ROUND(E162*N162,2)</f>
        <v>0.01</v>
      </c>
      <c r="P162" s="154">
        <v>0</v>
      </c>
      <c r="Q162" s="154">
        <f>ROUND(E162*P162,2)</f>
        <v>0</v>
      </c>
      <c r="R162" s="155"/>
      <c r="S162" s="155" t="s">
        <v>999</v>
      </c>
      <c r="T162" s="155" t="s">
        <v>999</v>
      </c>
      <c r="U162" s="155">
        <v>0.39</v>
      </c>
      <c r="V162" s="155">
        <f>ROUND(E162*U162,2)</f>
        <v>0.76</v>
      </c>
      <c r="W162" s="155"/>
      <c r="X162" s="155" t="s">
        <v>146</v>
      </c>
      <c r="Y162" s="155" t="s">
        <v>147</v>
      </c>
      <c r="Z162" s="145"/>
      <c r="AA162" s="145"/>
      <c r="AB162" s="145"/>
      <c r="AC162" s="145"/>
      <c r="AD162" s="145"/>
      <c r="AE162" s="145"/>
      <c r="AF162" s="145"/>
      <c r="AG162" s="145" t="s">
        <v>148</v>
      </c>
      <c r="AH162" s="145"/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2" x14ac:dyDescent="0.25">
      <c r="A163" s="152"/>
      <c r="B163" s="153"/>
      <c r="C163" s="510" t="s">
        <v>352</v>
      </c>
      <c r="D163" s="511"/>
      <c r="E163" s="511"/>
      <c r="F163" s="511"/>
      <c r="G163" s="511"/>
      <c r="H163" s="155"/>
      <c r="I163" s="155"/>
      <c r="J163" s="155"/>
      <c r="K163" s="155"/>
      <c r="L163" s="155"/>
      <c r="M163" s="155"/>
      <c r="N163" s="154"/>
      <c r="O163" s="154"/>
      <c r="P163" s="154"/>
      <c r="Q163" s="154"/>
      <c r="R163" s="155"/>
      <c r="S163" s="155"/>
      <c r="T163" s="155"/>
      <c r="U163" s="155"/>
      <c r="V163" s="155"/>
      <c r="W163" s="155"/>
      <c r="X163" s="155"/>
      <c r="Y163" s="155"/>
      <c r="Z163" s="145"/>
      <c r="AA163" s="145"/>
      <c r="AB163" s="145"/>
      <c r="AC163" s="145"/>
      <c r="AD163" s="145"/>
      <c r="AE163" s="145"/>
      <c r="AF163" s="145"/>
      <c r="AG163" s="145" t="s">
        <v>225</v>
      </c>
      <c r="AH163" s="145"/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ht="20.399999999999999" outlineLevel="1" x14ac:dyDescent="0.25">
      <c r="A164" s="172">
        <v>63</v>
      </c>
      <c r="B164" s="173" t="s">
        <v>353</v>
      </c>
      <c r="C164" s="179" t="s">
        <v>354</v>
      </c>
      <c r="D164" s="174" t="s">
        <v>197</v>
      </c>
      <c r="E164" s="175">
        <v>1.95</v>
      </c>
      <c r="F164" s="176"/>
      <c r="G164" s="177">
        <f t="shared" ref="G164:G170" si="10">ROUND(E164*F164,2)</f>
        <v>0</v>
      </c>
      <c r="H164" s="156">
        <v>25.11</v>
      </c>
      <c r="I164" s="155">
        <f t="shared" ref="I164:I170" si="11">ROUND(E164*H164,2)</f>
        <v>48.96</v>
      </c>
      <c r="J164" s="156">
        <v>47.49</v>
      </c>
      <c r="K164" s="155">
        <f t="shared" ref="K164:K170" si="12">ROUND(E164*J164,2)</f>
        <v>92.61</v>
      </c>
      <c r="L164" s="155">
        <v>21</v>
      </c>
      <c r="M164" s="155">
        <f t="shared" ref="M164:M170" si="13">G164*(1+L164/100)</f>
        <v>0</v>
      </c>
      <c r="N164" s="154">
        <v>2.1000000000000001E-4</v>
      </c>
      <c r="O164" s="154">
        <f t="shared" ref="O164:O170" si="14">ROUND(E164*N164,2)</f>
        <v>0</v>
      </c>
      <c r="P164" s="154">
        <v>0</v>
      </c>
      <c r="Q164" s="154">
        <f t="shared" ref="Q164:Q170" si="15">ROUND(E164*P164,2)</f>
        <v>0</v>
      </c>
      <c r="R164" s="155"/>
      <c r="S164" s="155" t="s">
        <v>999</v>
      </c>
      <c r="T164" s="155" t="s">
        <v>999</v>
      </c>
      <c r="U164" s="155">
        <v>0.1</v>
      </c>
      <c r="V164" s="155">
        <f t="shared" ref="V164:V170" si="16">ROUND(E164*U164,2)</f>
        <v>0.2</v>
      </c>
      <c r="W164" s="155"/>
      <c r="X164" s="155" t="s">
        <v>146</v>
      </c>
      <c r="Y164" s="155" t="s">
        <v>147</v>
      </c>
      <c r="Z164" s="145"/>
      <c r="AA164" s="145"/>
      <c r="AB164" s="145"/>
      <c r="AC164" s="145"/>
      <c r="AD164" s="145"/>
      <c r="AE164" s="145"/>
      <c r="AF164" s="145"/>
      <c r="AG164" s="145" t="s">
        <v>148</v>
      </c>
      <c r="AH164" s="145"/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ht="20.399999999999999" outlineLevel="1" x14ac:dyDescent="0.25">
      <c r="A165" s="172">
        <v>64</v>
      </c>
      <c r="B165" s="173" t="s">
        <v>355</v>
      </c>
      <c r="C165" s="179" t="s">
        <v>356</v>
      </c>
      <c r="D165" s="174" t="s">
        <v>197</v>
      </c>
      <c r="E165" s="175">
        <v>95.03</v>
      </c>
      <c r="F165" s="176"/>
      <c r="G165" s="177">
        <f t="shared" si="10"/>
        <v>0</v>
      </c>
      <c r="H165" s="156">
        <v>0</v>
      </c>
      <c r="I165" s="155">
        <f t="shared" si="11"/>
        <v>0</v>
      </c>
      <c r="J165" s="156">
        <v>103.5</v>
      </c>
      <c r="K165" s="155">
        <f t="shared" si="12"/>
        <v>9835.61</v>
      </c>
      <c r="L165" s="155">
        <v>21</v>
      </c>
      <c r="M165" s="155">
        <f t="shared" si="13"/>
        <v>0</v>
      </c>
      <c r="N165" s="154">
        <v>0</v>
      </c>
      <c r="O165" s="154">
        <f t="shared" si="14"/>
        <v>0</v>
      </c>
      <c r="P165" s="154">
        <v>0</v>
      </c>
      <c r="Q165" s="154">
        <f t="shared" si="15"/>
        <v>0</v>
      </c>
      <c r="R165" s="155"/>
      <c r="S165" s="155" t="s">
        <v>999</v>
      </c>
      <c r="T165" s="155" t="s">
        <v>999</v>
      </c>
      <c r="U165" s="155">
        <v>0.20699999999999999</v>
      </c>
      <c r="V165" s="155">
        <f t="shared" si="16"/>
        <v>19.670000000000002</v>
      </c>
      <c r="W165" s="155"/>
      <c r="X165" s="155" t="s">
        <v>146</v>
      </c>
      <c r="Y165" s="155" t="s">
        <v>147</v>
      </c>
      <c r="Z165" s="145"/>
      <c r="AA165" s="145"/>
      <c r="AB165" s="145"/>
      <c r="AC165" s="145"/>
      <c r="AD165" s="145"/>
      <c r="AE165" s="145"/>
      <c r="AF165" s="145"/>
      <c r="AG165" s="145" t="s">
        <v>148</v>
      </c>
      <c r="AH165" s="145"/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1" x14ac:dyDescent="0.25">
      <c r="A166" s="172">
        <v>65</v>
      </c>
      <c r="B166" s="173" t="s">
        <v>357</v>
      </c>
      <c r="C166" s="179" t="s">
        <v>1033</v>
      </c>
      <c r="D166" s="174" t="s">
        <v>197</v>
      </c>
      <c r="E166" s="175">
        <v>104.533</v>
      </c>
      <c r="F166" s="176"/>
      <c r="G166" s="177">
        <f t="shared" si="10"/>
        <v>0</v>
      </c>
      <c r="H166" s="156">
        <v>272.5</v>
      </c>
      <c r="I166" s="155">
        <f t="shared" si="11"/>
        <v>28485.24</v>
      </c>
      <c r="J166" s="156">
        <v>0</v>
      </c>
      <c r="K166" s="155">
        <f t="shared" si="12"/>
        <v>0</v>
      </c>
      <c r="L166" s="155">
        <v>21</v>
      </c>
      <c r="M166" s="155">
        <f t="shared" si="13"/>
        <v>0</v>
      </c>
      <c r="N166" s="154">
        <v>3.5000000000000001E-3</v>
      </c>
      <c r="O166" s="154">
        <f t="shared" si="14"/>
        <v>0.37</v>
      </c>
      <c r="P166" s="154">
        <v>0</v>
      </c>
      <c r="Q166" s="154">
        <f t="shared" si="15"/>
        <v>0</v>
      </c>
      <c r="R166" s="155"/>
      <c r="S166" s="155" t="s">
        <v>999</v>
      </c>
      <c r="T166" s="155" t="s">
        <v>999</v>
      </c>
      <c r="U166" s="155">
        <v>0</v>
      </c>
      <c r="V166" s="155">
        <f t="shared" si="16"/>
        <v>0</v>
      </c>
      <c r="W166" s="155"/>
      <c r="X166" s="155" t="s">
        <v>358</v>
      </c>
      <c r="Y166" s="155" t="s">
        <v>147</v>
      </c>
      <c r="Z166" s="145"/>
      <c r="AA166" s="145"/>
      <c r="AB166" s="145"/>
      <c r="AC166" s="145"/>
      <c r="AD166" s="145"/>
      <c r="AE166" s="145"/>
      <c r="AF166" s="145"/>
      <c r="AG166" s="145" t="s">
        <v>359</v>
      </c>
      <c r="AH166" s="145"/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ht="20.399999999999999" outlineLevel="1" x14ac:dyDescent="0.25">
      <c r="A167" s="172">
        <v>66</v>
      </c>
      <c r="B167" s="173" t="s">
        <v>360</v>
      </c>
      <c r="C167" s="179" t="s">
        <v>361</v>
      </c>
      <c r="D167" s="174" t="s">
        <v>197</v>
      </c>
      <c r="E167" s="175">
        <v>95.03</v>
      </c>
      <c r="F167" s="176"/>
      <c r="G167" s="177">
        <f t="shared" si="10"/>
        <v>0</v>
      </c>
      <c r="H167" s="156">
        <v>0</v>
      </c>
      <c r="I167" s="155">
        <f t="shared" si="11"/>
        <v>0</v>
      </c>
      <c r="J167" s="156">
        <v>170.5</v>
      </c>
      <c r="K167" s="155">
        <f t="shared" si="12"/>
        <v>16202.62</v>
      </c>
      <c r="L167" s="155">
        <v>21</v>
      </c>
      <c r="M167" s="155">
        <f t="shared" si="13"/>
        <v>0</v>
      </c>
      <c r="N167" s="154">
        <v>0</v>
      </c>
      <c r="O167" s="154">
        <f t="shared" si="14"/>
        <v>0</v>
      </c>
      <c r="P167" s="154">
        <v>0</v>
      </c>
      <c r="Q167" s="154">
        <f t="shared" si="15"/>
        <v>0</v>
      </c>
      <c r="R167" s="155"/>
      <c r="S167" s="155" t="s">
        <v>999</v>
      </c>
      <c r="T167" s="155" t="s">
        <v>999</v>
      </c>
      <c r="U167" s="155">
        <v>0.31</v>
      </c>
      <c r="V167" s="155">
        <f t="shared" si="16"/>
        <v>29.46</v>
      </c>
      <c r="W167" s="155"/>
      <c r="X167" s="155" t="s">
        <v>146</v>
      </c>
      <c r="Y167" s="155" t="s">
        <v>147</v>
      </c>
      <c r="Z167" s="145"/>
      <c r="AA167" s="145"/>
      <c r="AB167" s="145"/>
      <c r="AC167" s="145"/>
      <c r="AD167" s="145"/>
      <c r="AE167" s="145"/>
      <c r="AF167" s="145"/>
      <c r="AG167" s="145" t="s">
        <v>148</v>
      </c>
      <c r="AH167" s="145"/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 x14ac:dyDescent="0.25">
      <c r="A168" s="172">
        <v>67</v>
      </c>
      <c r="B168" s="173" t="s">
        <v>362</v>
      </c>
      <c r="C168" s="179" t="s">
        <v>363</v>
      </c>
      <c r="D168" s="174" t="s">
        <v>197</v>
      </c>
      <c r="E168" s="175">
        <v>104.5333</v>
      </c>
      <c r="F168" s="176"/>
      <c r="G168" s="177">
        <f t="shared" si="10"/>
        <v>0</v>
      </c>
      <c r="H168" s="156">
        <v>23.3</v>
      </c>
      <c r="I168" s="155">
        <f t="shared" si="11"/>
        <v>2435.63</v>
      </c>
      <c r="J168" s="156">
        <v>0</v>
      </c>
      <c r="K168" s="155">
        <f t="shared" si="12"/>
        <v>0</v>
      </c>
      <c r="L168" s="155">
        <v>21</v>
      </c>
      <c r="M168" s="155">
        <f t="shared" si="13"/>
        <v>0</v>
      </c>
      <c r="N168" s="154">
        <v>1.1E-4</v>
      </c>
      <c r="O168" s="154">
        <f t="shared" si="14"/>
        <v>0.01</v>
      </c>
      <c r="P168" s="154">
        <v>0</v>
      </c>
      <c r="Q168" s="154">
        <f t="shared" si="15"/>
        <v>0</v>
      </c>
      <c r="R168" s="155" t="s">
        <v>266</v>
      </c>
      <c r="S168" s="155" t="s">
        <v>999</v>
      </c>
      <c r="T168" s="155" t="s">
        <v>999</v>
      </c>
      <c r="U168" s="155">
        <v>0</v>
      </c>
      <c r="V168" s="155">
        <f t="shared" si="16"/>
        <v>0</v>
      </c>
      <c r="W168" s="155"/>
      <c r="X168" s="155" t="s">
        <v>261</v>
      </c>
      <c r="Y168" s="155" t="s">
        <v>147</v>
      </c>
      <c r="Z168" s="145"/>
      <c r="AA168" s="145"/>
      <c r="AB168" s="145"/>
      <c r="AC168" s="145"/>
      <c r="AD168" s="145"/>
      <c r="AE168" s="145"/>
      <c r="AF168" s="145"/>
      <c r="AG168" s="145" t="s">
        <v>262</v>
      </c>
      <c r="AH168" s="145"/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ht="20.399999999999999" outlineLevel="1" x14ac:dyDescent="0.25">
      <c r="A169" s="172">
        <v>68</v>
      </c>
      <c r="B169" s="173" t="s">
        <v>364</v>
      </c>
      <c r="C169" s="179" t="s">
        <v>365</v>
      </c>
      <c r="D169" s="174" t="s">
        <v>197</v>
      </c>
      <c r="E169" s="175">
        <v>18.12</v>
      </c>
      <c r="F169" s="176"/>
      <c r="G169" s="177">
        <f t="shared" si="10"/>
        <v>0</v>
      </c>
      <c r="H169" s="156">
        <v>0</v>
      </c>
      <c r="I169" s="155">
        <f t="shared" si="11"/>
        <v>0</v>
      </c>
      <c r="J169" s="156">
        <v>39.200000000000003</v>
      </c>
      <c r="K169" s="155">
        <f t="shared" si="12"/>
        <v>710.3</v>
      </c>
      <c r="L169" s="155">
        <v>21</v>
      </c>
      <c r="M169" s="155">
        <f t="shared" si="13"/>
        <v>0</v>
      </c>
      <c r="N169" s="154">
        <v>0</v>
      </c>
      <c r="O169" s="154">
        <f t="shared" si="14"/>
        <v>0</v>
      </c>
      <c r="P169" s="154">
        <v>0</v>
      </c>
      <c r="Q169" s="154">
        <f t="shared" si="15"/>
        <v>0</v>
      </c>
      <c r="R169" s="155"/>
      <c r="S169" s="155" t="s">
        <v>999</v>
      </c>
      <c r="T169" s="155" t="s">
        <v>999</v>
      </c>
      <c r="U169" s="155">
        <v>7.0000000000000007E-2</v>
      </c>
      <c r="V169" s="155">
        <f t="shared" si="16"/>
        <v>1.27</v>
      </c>
      <c r="W169" s="155"/>
      <c r="X169" s="155" t="s">
        <v>146</v>
      </c>
      <c r="Y169" s="155" t="s">
        <v>147</v>
      </c>
      <c r="Z169" s="145"/>
      <c r="AA169" s="145"/>
      <c r="AB169" s="145"/>
      <c r="AC169" s="145"/>
      <c r="AD169" s="145"/>
      <c r="AE169" s="145"/>
      <c r="AF169" s="145"/>
      <c r="AG169" s="145" t="s">
        <v>148</v>
      </c>
      <c r="AH169" s="145"/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1" x14ac:dyDescent="0.25">
      <c r="A170" s="166">
        <v>69</v>
      </c>
      <c r="B170" s="167" t="s">
        <v>366</v>
      </c>
      <c r="C170" s="180" t="s">
        <v>367</v>
      </c>
      <c r="D170" s="168" t="s">
        <v>197</v>
      </c>
      <c r="E170" s="169">
        <v>19.931999999999999</v>
      </c>
      <c r="F170" s="170"/>
      <c r="G170" s="171">
        <f t="shared" si="10"/>
        <v>0</v>
      </c>
      <c r="H170" s="156">
        <v>61.9</v>
      </c>
      <c r="I170" s="155">
        <f t="shared" si="11"/>
        <v>1233.79</v>
      </c>
      <c r="J170" s="156">
        <v>0</v>
      </c>
      <c r="K170" s="155">
        <f t="shared" si="12"/>
        <v>0</v>
      </c>
      <c r="L170" s="155">
        <v>21</v>
      </c>
      <c r="M170" s="155">
        <f t="shared" si="13"/>
        <v>0</v>
      </c>
      <c r="N170" s="154">
        <v>2.9999999999999997E-4</v>
      </c>
      <c r="O170" s="154">
        <f t="shared" si="14"/>
        <v>0.01</v>
      </c>
      <c r="P170" s="154">
        <v>0</v>
      </c>
      <c r="Q170" s="154">
        <f t="shared" si="15"/>
        <v>0</v>
      </c>
      <c r="R170" s="155" t="s">
        <v>266</v>
      </c>
      <c r="S170" s="155" t="s">
        <v>999</v>
      </c>
      <c r="T170" s="155" t="s">
        <v>999</v>
      </c>
      <c r="U170" s="155">
        <v>0</v>
      </c>
      <c r="V170" s="155">
        <f t="shared" si="16"/>
        <v>0</v>
      </c>
      <c r="W170" s="155"/>
      <c r="X170" s="155" t="s">
        <v>261</v>
      </c>
      <c r="Y170" s="155" t="s">
        <v>147</v>
      </c>
      <c r="Z170" s="145"/>
      <c r="AA170" s="145"/>
      <c r="AB170" s="145"/>
      <c r="AC170" s="145"/>
      <c r="AD170" s="145"/>
      <c r="AE170" s="145"/>
      <c r="AF170" s="145"/>
      <c r="AG170" s="145" t="s">
        <v>262</v>
      </c>
      <c r="AH170" s="145"/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2" x14ac:dyDescent="0.25">
      <c r="A171" s="152"/>
      <c r="B171" s="153"/>
      <c r="C171" s="187" t="s">
        <v>368</v>
      </c>
      <c r="D171" s="184"/>
      <c r="E171" s="185">
        <v>19.931999999999999</v>
      </c>
      <c r="F171" s="155"/>
      <c r="G171" s="155"/>
      <c r="H171" s="155"/>
      <c r="I171" s="155"/>
      <c r="J171" s="155"/>
      <c r="K171" s="155"/>
      <c r="L171" s="155"/>
      <c r="M171" s="155"/>
      <c r="N171" s="154"/>
      <c r="O171" s="154"/>
      <c r="P171" s="154"/>
      <c r="Q171" s="154"/>
      <c r="R171" s="155"/>
      <c r="S171" s="155"/>
      <c r="T171" s="155"/>
      <c r="U171" s="155"/>
      <c r="V171" s="155"/>
      <c r="W171" s="155"/>
      <c r="X171" s="155"/>
      <c r="Y171" s="155"/>
      <c r="Z171" s="145"/>
      <c r="AA171" s="145"/>
      <c r="AB171" s="145"/>
      <c r="AC171" s="145"/>
      <c r="AD171" s="145"/>
      <c r="AE171" s="145"/>
      <c r="AF171" s="145"/>
      <c r="AG171" s="145" t="s">
        <v>198</v>
      </c>
      <c r="AH171" s="145">
        <v>0</v>
      </c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ht="20.399999999999999" outlineLevel="1" x14ac:dyDescent="0.25">
      <c r="A172" s="172">
        <v>70</v>
      </c>
      <c r="B172" s="173" t="s">
        <v>369</v>
      </c>
      <c r="C172" s="179" t="s">
        <v>370</v>
      </c>
      <c r="D172" s="174" t="s">
        <v>197</v>
      </c>
      <c r="E172" s="175">
        <v>1.95</v>
      </c>
      <c r="F172" s="176"/>
      <c r="G172" s="177">
        <f>ROUND(E172*F172,2)</f>
        <v>0</v>
      </c>
      <c r="H172" s="156">
        <v>0</v>
      </c>
      <c r="I172" s="155">
        <f>ROUND(E172*H172,2)</f>
        <v>0</v>
      </c>
      <c r="J172" s="156">
        <v>40</v>
      </c>
      <c r="K172" s="155">
        <f>ROUND(E172*J172,2)</f>
        <v>78</v>
      </c>
      <c r="L172" s="155">
        <v>21</v>
      </c>
      <c r="M172" s="155">
        <f>G172*(1+L172/100)</f>
        <v>0</v>
      </c>
      <c r="N172" s="154">
        <v>0</v>
      </c>
      <c r="O172" s="154">
        <f>ROUND(E172*N172,2)</f>
        <v>0</v>
      </c>
      <c r="P172" s="154">
        <v>0</v>
      </c>
      <c r="Q172" s="154">
        <f>ROUND(E172*P172,2)</f>
        <v>0</v>
      </c>
      <c r="R172" s="155"/>
      <c r="S172" s="155" t="s">
        <v>999</v>
      </c>
      <c r="T172" s="155" t="s">
        <v>999</v>
      </c>
      <c r="U172" s="155">
        <v>0.08</v>
      </c>
      <c r="V172" s="155">
        <f>ROUND(E172*U172,2)</f>
        <v>0.16</v>
      </c>
      <c r="W172" s="155"/>
      <c r="X172" s="155" t="s">
        <v>146</v>
      </c>
      <c r="Y172" s="155" t="s">
        <v>147</v>
      </c>
      <c r="Z172" s="145"/>
      <c r="AA172" s="145"/>
      <c r="AB172" s="145"/>
      <c r="AC172" s="145"/>
      <c r="AD172" s="145"/>
      <c r="AE172" s="145"/>
      <c r="AF172" s="145"/>
      <c r="AG172" s="145" t="s">
        <v>148</v>
      </c>
      <c r="AH172" s="145"/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ht="20.399999999999999" outlineLevel="1" x14ac:dyDescent="0.25">
      <c r="A173" s="166">
        <v>71</v>
      </c>
      <c r="B173" s="167" t="s">
        <v>371</v>
      </c>
      <c r="C173" s="180" t="s">
        <v>372</v>
      </c>
      <c r="D173" s="168" t="s">
        <v>197</v>
      </c>
      <c r="E173" s="169">
        <f>SUM(E174:E175)</f>
        <v>44.24</v>
      </c>
      <c r="F173" s="170"/>
      <c r="G173" s="171">
        <f>ROUND(E173*F173,2)</f>
        <v>0</v>
      </c>
      <c r="H173" s="156">
        <v>125</v>
      </c>
      <c r="I173" s="155">
        <f>ROUND(E173*H173,2)</f>
        <v>5530</v>
      </c>
      <c r="J173" s="156">
        <v>0</v>
      </c>
      <c r="K173" s="155">
        <f>ROUND(E173*J173,2)</f>
        <v>0</v>
      </c>
      <c r="L173" s="155">
        <v>21</v>
      </c>
      <c r="M173" s="155">
        <f>G173*(1+L173/100)</f>
        <v>0</v>
      </c>
      <c r="N173" s="154">
        <v>4.0999999999999999E-4</v>
      </c>
      <c r="O173" s="154">
        <f>ROUND(E173*N173,2)</f>
        <v>0.02</v>
      </c>
      <c r="P173" s="154">
        <v>0</v>
      </c>
      <c r="Q173" s="154">
        <f>ROUND(E173*P173,2)</f>
        <v>0</v>
      </c>
      <c r="R173" s="155"/>
      <c r="S173" s="155" t="s">
        <v>999</v>
      </c>
      <c r="T173" s="155" t="s">
        <v>999</v>
      </c>
      <c r="U173" s="155">
        <v>0.23</v>
      </c>
      <c r="V173" s="155">
        <f>ROUND(E173*U173,2)</f>
        <v>10.18</v>
      </c>
      <c r="W173" s="155"/>
      <c r="X173" s="155" t="s">
        <v>358</v>
      </c>
      <c r="Y173" s="155" t="s">
        <v>147</v>
      </c>
      <c r="Z173" s="145"/>
      <c r="AA173" s="145"/>
      <c r="AB173" s="145"/>
      <c r="AC173" s="145"/>
      <c r="AD173" s="145"/>
      <c r="AE173" s="145"/>
      <c r="AF173" s="145"/>
      <c r="AG173" s="145" t="s">
        <v>359</v>
      </c>
      <c r="AH173" s="145"/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2" x14ac:dyDescent="0.25">
      <c r="A174" s="152"/>
      <c r="B174" s="153"/>
      <c r="C174" s="187" t="s">
        <v>373</v>
      </c>
      <c r="D174" s="184"/>
      <c r="E174" s="185">
        <v>36.24</v>
      </c>
      <c r="F174" s="155"/>
      <c r="G174" s="155"/>
      <c r="H174" s="155"/>
      <c r="I174" s="155"/>
      <c r="J174" s="155"/>
      <c r="K174" s="155"/>
      <c r="L174" s="155"/>
      <c r="M174" s="155"/>
      <c r="N174" s="154"/>
      <c r="O174" s="154"/>
      <c r="P174" s="154"/>
      <c r="Q174" s="154"/>
      <c r="R174" s="155"/>
      <c r="S174" s="155"/>
      <c r="T174" s="155"/>
      <c r="U174" s="155"/>
      <c r="V174" s="155"/>
      <c r="W174" s="155"/>
      <c r="X174" s="155"/>
      <c r="Y174" s="155"/>
      <c r="Z174" s="145"/>
      <c r="AA174" s="145"/>
      <c r="AB174" s="145"/>
      <c r="AC174" s="145"/>
      <c r="AD174" s="145"/>
      <c r="AE174" s="145"/>
      <c r="AF174" s="145"/>
      <c r="AG174" s="145" t="s">
        <v>198</v>
      </c>
      <c r="AH174" s="145">
        <v>0</v>
      </c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2" x14ac:dyDescent="0.25">
      <c r="A175" s="152"/>
      <c r="B175" s="153"/>
      <c r="C175" s="187" t="s">
        <v>1046</v>
      </c>
      <c r="D175" s="184"/>
      <c r="E175" s="185">
        <f>(1+1)*2*1*2</f>
        <v>8</v>
      </c>
      <c r="F175" s="155"/>
      <c r="G175" s="155"/>
      <c r="H175" s="155"/>
      <c r="I175" s="155"/>
      <c r="J175" s="155"/>
      <c r="K175" s="155"/>
      <c r="L175" s="155"/>
      <c r="M175" s="155"/>
      <c r="N175" s="154"/>
      <c r="O175" s="154"/>
      <c r="P175" s="154"/>
      <c r="Q175" s="154"/>
      <c r="R175" s="155"/>
      <c r="S175" s="155"/>
      <c r="T175" s="155"/>
      <c r="U175" s="155"/>
      <c r="V175" s="155"/>
      <c r="W175" s="155"/>
      <c r="X175" s="155"/>
      <c r="Y175" s="155"/>
      <c r="Z175" s="145"/>
      <c r="AA175" s="145"/>
      <c r="AB175" s="145"/>
      <c r="AC175" s="145"/>
      <c r="AD175" s="145"/>
      <c r="AE175" s="145"/>
      <c r="AF175" s="145"/>
      <c r="AG175" s="145"/>
      <c r="AH175" s="145"/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 x14ac:dyDescent="0.25">
      <c r="A176" s="166">
        <v>72</v>
      </c>
      <c r="B176" s="167" t="s">
        <v>374</v>
      </c>
      <c r="C176" s="180" t="s">
        <v>375</v>
      </c>
      <c r="D176" s="168" t="s">
        <v>197</v>
      </c>
      <c r="E176" s="169">
        <f>SUM(E177:E178)</f>
        <v>24.332000000000001</v>
      </c>
      <c r="F176" s="170"/>
      <c r="G176" s="171">
        <f>ROUND(E176*F176,2)</f>
        <v>0</v>
      </c>
      <c r="H176" s="156">
        <v>410</v>
      </c>
      <c r="I176" s="155">
        <f>ROUND(E176*H176,2)</f>
        <v>9976.1200000000008</v>
      </c>
      <c r="J176" s="156">
        <v>0</v>
      </c>
      <c r="K176" s="155">
        <f>ROUND(E176*J176,2)</f>
        <v>0</v>
      </c>
      <c r="L176" s="155">
        <v>21</v>
      </c>
      <c r="M176" s="155">
        <f>G176*(1+L176/100)</f>
        <v>0</v>
      </c>
      <c r="N176" s="154">
        <v>4.5999999999999999E-3</v>
      </c>
      <c r="O176" s="154">
        <f>ROUND(E176*N176,2)</f>
        <v>0.11</v>
      </c>
      <c r="P176" s="154">
        <v>0</v>
      </c>
      <c r="Q176" s="154">
        <f>ROUND(E176*P176,2)</f>
        <v>0</v>
      </c>
      <c r="R176" s="155"/>
      <c r="S176" s="155" t="s">
        <v>999</v>
      </c>
      <c r="T176" s="155" t="s">
        <v>999</v>
      </c>
      <c r="U176" s="155">
        <v>0</v>
      </c>
      <c r="V176" s="155">
        <f>ROUND(E176*U176,2)</f>
        <v>0</v>
      </c>
      <c r="W176" s="155"/>
      <c r="X176" s="155" t="s">
        <v>358</v>
      </c>
      <c r="Y176" s="155" t="s">
        <v>147</v>
      </c>
      <c r="Z176" s="145"/>
      <c r="AA176" s="145"/>
      <c r="AB176" s="145"/>
      <c r="AC176" s="145"/>
      <c r="AD176" s="145"/>
      <c r="AE176" s="145"/>
      <c r="AF176" s="145"/>
      <c r="AG176" s="145" t="s">
        <v>359</v>
      </c>
      <c r="AH176" s="145"/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2" x14ac:dyDescent="0.25">
      <c r="A177" s="152"/>
      <c r="B177" s="153"/>
      <c r="C177" s="187" t="s">
        <v>368</v>
      </c>
      <c r="D177" s="184"/>
      <c r="E177" s="185">
        <v>19.931999999999999</v>
      </c>
      <c r="F177" s="155"/>
      <c r="G177" s="155"/>
      <c r="H177" s="155"/>
      <c r="I177" s="155"/>
      <c r="J177" s="155"/>
      <c r="K177" s="155"/>
      <c r="L177" s="155"/>
      <c r="M177" s="155"/>
      <c r="N177" s="154"/>
      <c r="O177" s="154"/>
      <c r="P177" s="154"/>
      <c r="Q177" s="154"/>
      <c r="R177" s="155"/>
      <c r="S177" s="155"/>
      <c r="T177" s="155"/>
      <c r="U177" s="155"/>
      <c r="V177" s="155"/>
      <c r="W177" s="155"/>
      <c r="X177" s="155"/>
      <c r="Y177" s="155"/>
      <c r="Z177" s="145"/>
      <c r="AA177" s="145"/>
      <c r="AB177" s="145"/>
      <c r="AC177" s="145"/>
      <c r="AD177" s="145"/>
      <c r="AE177" s="145"/>
      <c r="AF177" s="145"/>
      <c r="AG177" s="145" t="s">
        <v>198</v>
      </c>
      <c r="AH177" s="145">
        <v>0</v>
      </c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2" x14ac:dyDescent="0.25">
      <c r="A178" s="152"/>
      <c r="B178" s="153" t="s">
        <v>1044</v>
      </c>
      <c r="C178" s="187" t="s">
        <v>1045</v>
      </c>
      <c r="D178" s="184"/>
      <c r="E178" s="185">
        <f>(1+1)*2*1*1.1</f>
        <v>4.4000000000000004</v>
      </c>
      <c r="F178" s="155"/>
      <c r="G178" s="155"/>
      <c r="H178" s="155"/>
      <c r="I178" s="155"/>
      <c r="J178" s="155"/>
      <c r="K178" s="155"/>
      <c r="L178" s="155"/>
      <c r="M178" s="155"/>
      <c r="N178" s="154"/>
      <c r="O178" s="154"/>
      <c r="P178" s="154"/>
      <c r="Q178" s="154"/>
      <c r="R178" s="155"/>
      <c r="S178" s="155"/>
      <c r="T178" s="155"/>
      <c r="U178" s="155"/>
      <c r="V178" s="155"/>
      <c r="W178" s="155"/>
      <c r="X178" s="155"/>
      <c r="Y178" s="155"/>
      <c r="Z178" s="145"/>
      <c r="AA178" s="145"/>
      <c r="AB178" s="145"/>
      <c r="AC178" s="145"/>
      <c r="AD178" s="145"/>
      <c r="AE178" s="145"/>
      <c r="AF178" s="145"/>
      <c r="AG178" s="145"/>
      <c r="AH178" s="145"/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outlineLevel="1" x14ac:dyDescent="0.25">
      <c r="A179" s="172">
        <v>73</v>
      </c>
      <c r="B179" s="173" t="s">
        <v>376</v>
      </c>
      <c r="C179" s="179" t="s">
        <v>377</v>
      </c>
      <c r="D179" s="174" t="s">
        <v>197</v>
      </c>
      <c r="E179" s="175">
        <v>24.332000000000001</v>
      </c>
      <c r="F179" s="176"/>
      <c r="G179" s="177">
        <f>ROUND(E179*F179,2)</f>
        <v>0</v>
      </c>
      <c r="H179" s="156">
        <v>349.5</v>
      </c>
      <c r="I179" s="155">
        <f>ROUND(E179*H179,2)</f>
        <v>8504.0300000000007</v>
      </c>
      <c r="J179" s="156">
        <v>0</v>
      </c>
      <c r="K179" s="155">
        <f>ROUND(E179*J179,2)</f>
        <v>0</v>
      </c>
      <c r="L179" s="155">
        <v>21</v>
      </c>
      <c r="M179" s="155">
        <f>G179*(1+L179/100)</f>
        <v>0</v>
      </c>
      <c r="N179" s="154">
        <v>4.4999999999999997E-3</v>
      </c>
      <c r="O179" s="154">
        <f>ROUND(E179*N179,2)</f>
        <v>0.11</v>
      </c>
      <c r="P179" s="154">
        <v>0</v>
      </c>
      <c r="Q179" s="154">
        <f>ROUND(E179*P179,2)</f>
        <v>0</v>
      </c>
      <c r="R179" s="155"/>
      <c r="S179" s="155" t="s">
        <v>999</v>
      </c>
      <c r="T179" s="155" t="s">
        <v>999</v>
      </c>
      <c r="U179" s="155">
        <v>0</v>
      </c>
      <c r="V179" s="155">
        <f>ROUND(E179*U179,2)</f>
        <v>0</v>
      </c>
      <c r="W179" s="155"/>
      <c r="X179" s="155" t="s">
        <v>358</v>
      </c>
      <c r="Y179" s="155" t="s">
        <v>147</v>
      </c>
      <c r="Z179" s="145"/>
      <c r="AA179" s="145"/>
      <c r="AB179" s="145"/>
      <c r="AC179" s="145"/>
      <c r="AD179" s="145"/>
      <c r="AE179" s="145"/>
      <c r="AF179" s="145"/>
      <c r="AG179" s="145" t="s">
        <v>359</v>
      </c>
      <c r="AH179" s="145"/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ht="20.399999999999999" outlineLevel="1" x14ac:dyDescent="0.25">
      <c r="A180" s="166">
        <v>74</v>
      </c>
      <c r="B180" s="167" t="s">
        <v>378</v>
      </c>
      <c r="C180" s="180" t="s">
        <v>379</v>
      </c>
      <c r="D180" s="168" t="s">
        <v>197</v>
      </c>
      <c r="E180" s="169">
        <f>SUM(E181:E183)</f>
        <v>117.55000000000001</v>
      </c>
      <c r="F180" s="170"/>
      <c r="G180" s="171">
        <f>ROUND(E180*F180,2)</f>
        <v>0</v>
      </c>
      <c r="H180" s="156">
        <v>4.96</v>
      </c>
      <c r="I180" s="155">
        <f>ROUND(E180*H180,2)</f>
        <v>583.04999999999995</v>
      </c>
      <c r="J180" s="156">
        <v>26.14</v>
      </c>
      <c r="K180" s="155">
        <f>ROUND(E180*J180,2)</f>
        <v>3072.76</v>
      </c>
      <c r="L180" s="155">
        <v>21</v>
      </c>
      <c r="M180" s="155">
        <f>G180*(1+L180/100)</f>
        <v>0</v>
      </c>
      <c r="N180" s="154">
        <v>1.7000000000000001E-4</v>
      </c>
      <c r="O180" s="154">
        <f>ROUND(E180*N180,2)</f>
        <v>0.02</v>
      </c>
      <c r="P180" s="154">
        <v>0</v>
      </c>
      <c r="Q180" s="154">
        <f>ROUND(E180*P180,2)</f>
        <v>0</v>
      </c>
      <c r="R180" s="155"/>
      <c r="S180" s="155" t="s">
        <v>999</v>
      </c>
      <c r="T180" s="155" t="s">
        <v>999</v>
      </c>
      <c r="U180" s="155">
        <v>0.05</v>
      </c>
      <c r="V180" s="155">
        <f>ROUND(E180*U180,2)</f>
        <v>5.88</v>
      </c>
      <c r="W180" s="155"/>
      <c r="X180" s="155" t="s">
        <v>146</v>
      </c>
      <c r="Y180" s="155" t="s">
        <v>147</v>
      </c>
      <c r="Z180" s="145"/>
      <c r="AA180" s="145"/>
      <c r="AB180" s="145"/>
      <c r="AC180" s="145"/>
      <c r="AD180" s="145"/>
      <c r="AE180" s="145"/>
      <c r="AF180" s="145"/>
      <c r="AG180" s="145" t="s">
        <v>148</v>
      </c>
      <c r="AH180" s="145"/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outlineLevel="2" x14ac:dyDescent="0.25">
      <c r="A181" s="152"/>
      <c r="B181" s="153"/>
      <c r="C181" s="187" t="s">
        <v>380</v>
      </c>
      <c r="D181" s="184"/>
      <c r="E181" s="185">
        <v>18.12</v>
      </c>
      <c r="F181" s="155"/>
      <c r="G181" s="155"/>
      <c r="H181" s="155"/>
      <c r="I181" s="155"/>
      <c r="J181" s="155"/>
      <c r="K181" s="155"/>
      <c r="L181" s="155"/>
      <c r="M181" s="155"/>
      <c r="N181" s="154"/>
      <c r="O181" s="154"/>
      <c r="P181" s="154"/>
      <c r="Q181" s="154"/>
      <c r="R181" s="155"/>
      <c r="S181" s="155"/>
      <c r="T181" s="155"/>
      <c r="U181" s="155"/>
      <c r="V181" s="155"/>
      <c r="W181" s="155"/>
      <c r="X181" s="155"/>
      <c r="Y181" s="155"/>
      <c r="Z181" s="145"/>
      <c r="AA181" s="145"/>
      <c r="AB181" s="145"/>
      <c r="AC181" s="145"/>
      <c r="AD181" s="145"/>
      <c r="AE181" s="145"/>
      <c r="AF181" s="145"/>
      <c r="AG181" s="145" t="s">
        <v>198</v>
      </c>
      <c r="AH181" s="145">
        <v>0</v>
      </c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3" x14ac:dyDescent="0.25">
      <c r="A182" s="152"/>
      <c r="B182" s="153"/>
      <c r="C182" s="187" t="s">
        <v>381</v>
      </c>
      <c r="D182" s="184"/>
      <c r="E182" s="185">
        <v>95.03</v>
      </c>
      <c r="F182" s="155"/>
      <c r="G182" s="155"/>
      <c r="H182" s="155"/>
      <c r="I182" s="155"/>
      <c r="J182" s="155"/>
      <c r="K182" s="155"/>
      <c r="L182" s="155"/>
      <c r="M182" s="155"/>
      <c r="N182" s="154"/>
      <c r="O182" s="154"/>
      <c r="P182" s="154"/>
      <c r="Q182" s="154"/>
      <c r="R182" s="155"/>
      <c r="S182" s="155"/>
      <c r="T182" s="155"/>
      <c r="U182" s="155"/>
      <c r="V182" s="155"/>
      <c r="W182" s="155"/>
      <c r="X182" s="155"/>
      <c r="Y182" s="155"/>
      <c r="Z182" s="145"/>
      <c r="AA182" s="145"/>
      <c r="AB182" s="145"/>
      <c r="AC182" s="145"/>
      <c r="AD182" s="145"/>
      <c r="AE182" s="145"/>
      <c r="AF182" s="145"/>
      <c r="AG182" s="145" t="s">
        <v>198</v>
      </c>
      <c r="AH182" s="145">
        <v>0</v>
      </c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outlineLevel="3" x14ac:dyDescent="0.25">
      <c r="A183" s="152"/>
      <c r="B183" s="153"/>
      <c r="C183" s="187">
        <v>4.4000000000000004</v>
      </c>
      <c r="D183" s="184"/>
      <c r="E183" s="185">
        <v>4.4000000000000004</v>
      </c>
      <c r="F183" s="155"/>
      <c r="G183" s="155"/>
      <c r="H183" s="155"/>
      <c r="I183" s="155"/>
      <c r="J183" s="155"/>
      <c r="K183" s="155"/>
      <c r="L183" s="155"/>
      <c r="M183" s="155"/>
      <c r="N183" s="154"/>
      <c r="O183" s="154"/>
      <c r="P183" s="154"/>
      <c r="Q183" s="154"/>
      <c r="R183" s="155"/>
      <c r="S183" s="155"/>
      <c r="T183" s="155"/>
      <c r="U183" s="155"/>
      <c r="V183" s="155"/>
      <c r="W183" s="155"/>
      <c r="X183" s="155"/>
      <c r="Y183" s="155"/>
      <c r="Z183" s="145"/>
      <c r="AA183" s="145"/>
      <c r="AB183" s="145"/>
      <c r="AC183" s="145"/>
      <c r="AD183" s="145"/>
      <c r="AE183" s="145"/>
      <c r="AF183" s="145"/>
      <c r="AG183" s="145"/>
      <c r="AH183" s="145"/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outlineLevel="1" x14ac:dyDescent="0.25">
      <c r="A184" s="166">
        <v>75</v>
      </c>
      <c r="B184" s="167" t="s">
        <v>382</v>
      </c>
      <c r="C184" s="180" t="s">
        <v>383</v>
      </c>
      <c r="D184" s="168" t="s">
        <v>384</v>
      </c>
      <c r="E184" s="169">
        <f>E185</f>
        <v>5.1722000000000001</v>
      </c>
      <c r="F184" s="170"/>
      <c r="G184" s="171">
        <f>ROUND(E184*F184,2)</f>
        <v>0</v>
      </c>
      <c r="H184" s="156">
        <v>48.6</v>
      </c>
      <c r="I184" s="155">
        <f>ROUND(E184*H184,2)</f>
        <v>251.37</v>
      </c>
      <c r="J184" s="156">
        <v>0</v>
      </c>
      <c r="K184" s="155">
        <f>ROUND(E184*J184,2)</f>
        <v>0</v>
      </c>
      <c r="L184" s="155">
        <v>21</v>
      </c>
      <c r="M184" s="155">
        <f>G184*(1+L184/100)</f>
        <v>0</v>
      </c>
      <c r="N184" s="154">
        <v>1E-3</v>
      </c>
      <c r="O184" s="154">
        <f>ROUND(E184*N184,2)</f>
        <v>0.01</v>
      </c>
      <c r="P184" s="154">
        <v>0</v>
      </c>
      <c r="Q184" s="154">
        <f>ROUND(E184*P184,2)</f>
        <v>0</v>
      </c>
      <c r="R184" s="155"/>
      <c r="S184" s="155" t="s">
        <v>999</v>
      </c>
      <c r="T184" s="155" t="s">
        <v>999</v>
      </c>
      <c r="U184" s="155">
        <v>0</v>
      </c>
      <c r="V184" s="155">
        <f>ROUND(E184*U184,2)</f>
        <v>0</v>
      </c>
      <c r="W184" s="155"/>
      <c r="X184" s="155" t="s">
        <v>358</v>
      </c>
      <c r="Y184" s="155" t="s">
        <v>147</v>
      </c>
      <c r="Z184" s="145"/>
      <c r="AA184" s="145"/>
      <c r="AB184" s="145"/>
      <c r="AC184" s="145"/>
      <c r="AD184" s="145"/>
      <c r="AE184" s="145"/>
      <c r="AF184" s="145"/>
      <c r="AG184" s="145" t="s">
        <v>359</v>
      </c>
      <c r="AH184" s="145"/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outlineLevel="2" x14ac:dyDescent="0.25">
      <c r="A185" s="152"/>
      <c r="B185" s="153"/>
      <c r="C185" s="187" t="s">
        <v>1047</v>
      </c>
      <c r="D185" s="184"/>
      <c r="E185" s="185">
        <f>117.55*0.04*1.1</f>
        <v>5.1722000000000001</v>
      </c>
      <c r="F185" s="155"/>
      <c r="G185" s="155"/>
      <c r="H185" s="155"/>
      <c r="I185" s="155"/>
      <c r="J185" s="155"/>
      <c r="K185" s="155"/>
      <c r="L185" s="155"/>
      <c r="M185" s="155"/>
      <c r="N185" s="154"/>
      <c r="O185" s="154"/>
      <c r="P185" s="154"/>
      <c r="Q185" s="154"/>
      <c r="R185" s="155"/>
      <c r="S185" s="155"/>
      <c r="T185" s="155"/>
      <c r="U185" s="155"/>
      <c r="V185" s="155"/>
      <c r="W185" s="155"/>
      <c r="X185" s="155"/>
      <c r="Y185" s="155"/>
      <c r="Z185" s="145"/>
      <c r="AA185" s="145"/>
      <c r="AB185" s="145"/>
      <c r="AC185" s="145"/>
      <c r="AD185" s="145"/>
      <c r="AE185" s="145"/>
      <c r="AF185" s="145"/>
      <c r="AG185" s="145" t="s">
        <v>198</v>
      </c>
      <c r="AH185" s="145">
        <v>0</v>
      </c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1" x14ac:dyDescent="0.25">
      <c r="A186" s="166">
        <v>76</v>
      </c>
      <c r="B186" s="167" t="s">
        <v>385</v>
      </c>
      <c r="C186" s="180" t="s">
        <v>386</v>
      </c>
      <c r="D186" s="168" t="s">
        <v>228</v>
      </c>
      <c r="E186" s="169">
        <f>SUM(E187:E196)</f>
        <v>0.66039000000000003</v>
      </c>
      <c r="F186" s="170"/>
      <c r="G186" s="171">
        <f>ROUND(E186*F186,2)</f>
        <v>0</v>
      </c>
      <c r="H186" s="156">
        <v>0</v>
      </c>
      <c r="I186" s="155">
        <f>ROUND(E186*H186,2)</f>
        <v>0</v>
      </c>
      <c r="J186" s="156">
        <v>1230</v>
      </c>
      <c r="K186" s="155">
        <f>ROUND(E186*J186,2)</f>
        <v>812.28</v>
      </c>
      <c r="L186" s="155">
        <v>21</v>
      </c>
      <c r="M186" s="155">
        <f>G186*(1+L186/100)</f>
        <v>0</v>
      </c>
      <c r="N186" s="154">
        <v>0</v>
      </c>
      <c r="O186" s="154">
        <f>ROUND(E186*N186,2)</f>
        <v>0</v>
      </c>
      <c r="P186" s="154">
        <v>0</v>
      </c>
      <c r="Q186" s="154">
        <f>ROUND(E186*P186,2)</f>
        <v>0</v>
      </c>
      <c r="R186" s="155"/>
      <c r="S186" s="155" t="s">
        <v>999</v>
      </c>
      <c r="T186" s="155" t="s">
        <v>999</v>
      </c>
      <c r="U186" s="155">
        <v>1.57</v>
      </c>
      <c r="V186" s="155">
        <f>ROUND(E186*U186,2)</f>
        <v>1.04</v>
      </c>
      <c r="W186" s="155"/>
      <c r="X186" s="155" t="s">
        <v>146</v>
      </c>
      <c r="Y186" s="155" t="s">
        <v>147</v>
      </c>
      <c r="Z186" s="145"/>
      <c r="AA186" s="145"/>
      <c r="AB186" s="145"/>
      <c r="AC186" s="145"/>
      <c r="AD186" s="145"/>
      <c r="AE186" s="145"/>
      <c r="AF186" s="145"/>
      <c r="AG186" s="145" t="s">
        <v>148</v>
      </c>
      <c r="AH186" s="145"/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2" x14ac:dyDescent="0.25">
      <c r="A187" s="152"/>
      <c r="B187" s="153"/>
      <c r="C187" s="187" t="s">
        <v>387</v>
      </c>
      <c r="D187" s="184"/>
      <c r="E187" s="185">
        <v>6.6299999999999996E-3</v>
      </c>
      <c r="F187" s="155"/>
      <c r="G187" s="155"/>
      <c r="H187" s="155"/>
      <c r="I187" s="155"/>
      <c r="J187" s="155"/>
      <c r="K187" s="155"/>
      <c r="L187" s="155"/>
      <c r="M187" s="155"/>
      <c r="N187" s="154"/>
      <c r="O187" s="154"/>
      <c r="P187" s="154"/>
      <c r="Q187" s="154"/>
      <c r="R187" s="155"/>
      <c r="S187" s="155"/>
      <c r="T187" s="155"/>
      <c r="U187" s="155"/>
      <c r="V187" s="155"/>
      <c r="W187" s="155"/>
      <c r="X187" s="155"/>
      <c r="Y187" s="155"/>
      <c r="Z187" s="145"/>
      <c r="AA187" s="145"/>
      <c r="AB187" s="145"/>
      <c r="AC187" s="145"/>
      <c r="AD187" s="145"/>
      <c r="AE187" s="145"/>
      <c r="AF187" s="145"/>
      <c r="AG187" s="145" t="s">
        <v>198</v>
      </c>
      <c r="AH187" s="145">
        <v>6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3" x14ac:dyDescent="0.25">
      <c r="A188" s="152"/>
      <c r="B188" s="153"/>
      <c r="C188" s="187" t="s">
        <v>388</v>
      </c>
      <c r="D188" s="184"/>
      <c r="E188" s="185">
        <v>4.0999999999999999E-4</v>
      </c>
      <c r="F188" s="155"/>
      <c r="G188" s="155"/>
      <c r="H188" s="155"/>
      <c r="I188" s="155"/>
      <c r="J188" s="155"/>
      <c r="K188" s="155"/>
      <c r="L188" s="155"/>
      <c r="M188" s="155"/>
      <c r="N188" s="154"/>
      <c r="O188" s="154"/>
      <c r="P188" s="154"/>
      <c r="Q188" s="154"/>
      <c r="R188" s="155"/>
      <c r="S188" s="155"/>
      <c r="T188" s="155"/>
      <c r="U188" s="155"/>
      <c r="V188" s="155"/>
      <c r="W188" s="155"/>
      <c r="X188" s="155"/>
      <c r="Y188" s="155"/>
      <c r="Z188" s="145"/>
      <c r="AA188" s="145"/>
      <c r="AB188" s="145"/>
      <c r="AC188" s="145"/>
      <c r="AD188" s="145"/>
      <c r="AE188" s="145"/>
      <c r="AF188" s="145"/>
      <c r="AG188" s="145" t="s">
        <v>198</v>
      </c>
      <c r="AH188" s="145">
        <v>6</v>
      </c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3" x14ac:dyDescent="0.25">
      <c r="A189" s="152"/>
      <c r="B189" s="153"/>
      <c r="C189" s="187" t="s">
        <v>389</v>
      </c>
      <c r="D189" s="184"/>
      <c r="E189" s="185">
        <v>0.36586999999999997</v>
      </c>
      <c r="F189" s="155"/>
      <c r="G189" s="155"/>
      <c r="H189" s="155"/>
      <c r="I189" s="155"/>
      <c r="J189" s="155"/>
      <c r="K189" s="155"/>
      <c r="L189" s="155"/>
      <c r="M189" s="155"/>
      <c r="N189" s="154"/>
      <c r="O189" s="154"/>
      <c r="P189" s="154"/>
      <c r="Q189" s="154"/>
      <c r="R189" s="155"/>
      <c r="S189" s="155"/>
      <c r="T189" s="155"/>
      <c r="U189" s="155"/>
      <c r="V189" s="155"/>
      <c r="W189" s="155"/>
      <c r="X189" s="155"/>
      <c r="Y189" s="155"/>
      <c r="Z189" s="145"/>
      <c r="AA189" s="145"/>
      <c r="AB189" s="145"/>
      <c r="AC189" s="145"/>
      <c r="AD189" s="145"/>
      <c r="AE189" s="145"/>
      <c r="AF189" s="145"/>
      <c r="AG189" s="145" t="s">
        <v>198</v>
      </c>
      <c r="AH189" s="145">
        <v>6</v>
      </c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3" x14ac:dyDescent="0.25">
      <c r="A190" s="152"/>
      <c r="B190" s="153"/>
      <c r="C190" s="187" t="s">
        <v>390</v>
      </c>
      <c r="D190" s="184"/>
      <c r="E190" s="185">
        <v>1.15E-2</v>
      </c>
      <c r="F190" s="155"/>
      <c r="G190" s="155"/>
      <c r="H190" s="155"/>
      <c r="I190" s="155"/>
      <c r="J190" s="155"/>
      <c r="K190" s="155"/>
      <c r="L190" s="155"/>
      <c r="M190" s="155"/>
      <c r="N190" s="154"/>
      <c r="O190" s="154"/>
      <c r="P190" s="154"/>
      <c r="Q190" s="154"/>
      <c r="R190" s="155"/>
      <c r="S190" s="155"/>
      <c r="T190" s="155"/>
      <c r="U190" s="155"/>
      <c r="V190" s="155"/>
      <c r="W190" s="155"/>
      <c r="X190" s="155"/>
      <c r="Y190" s="155"/>
      <c r="Z190" s="145"/>
      <c r="AA190" s="145"/>
      <c r="AB190" s="145"/>
      <c r="AC190" s="145"/>
      <c r="AD190" s="145"/>
      <c r="AE190" s="145"/>
      <c r="AF190" s="145"/>
      <c r="AG190" s="145" t="s">
        <v>198</v>
      </c>
      <c r="AH190" s="145">
        <v>6</v>
      </c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outlineLevel="3" x14ac:dyDescent="0.25">
      <c r="A191" s="152"/>
      <c r="B191" s="153"/>
      <c r="C191" s="187" t="s">
        <v>391</v>
      </c>
      <c r="D191" s="184"/>
      <c r="E191" s="185">
        <v>5.9800000000000001E-3</v>
      </c>
      <c r="F191" s="155"/>
      <c r="G191" s="155"/>
      <c r="H191" s="155"/>
      <c r="I191" s="155"/>
      <c r="J191" s="155"/>
      <c r="K191" s="155"/>
      <c r="L191" s="155"/>
      <c r="M191" s="155"/>
      <c r="N191" s="154"/>
      <c r="O191" s="154"/>
      <c r="P191" s="154"/>
      <c r="Q191" s="154"/>
      <c r="R191" s="155"/>
      <c r="S191" s="155"/>
      <c r="T191" s="155"/>
      <c r="U191" s="155"/>
      <c r="V191" s="155"/>
      <c r="W191" s="155"/>
      <c r="X191" s="155"/>
      <c r="Y191" s="155"/>
      <c r="Z191" s="145"/>
      <c r="AA191" s="145"/>
      <c r="AB191" s="145"/>
      <c r="AC191" s="145"/>
      <c r="AD191" s="145"/>
      <c r="AE191" s="145"/>
      <c r="AF191" s="145"/>
      <c r="AG191" s="145" t="s">
        <v>198</v>
      </c>
      <c r="AH191" s="145">
        <v>6</v>
      </c>
      <c r="AI191" s="145"/>
      <c r="AJ191" s="145"/>
      <c r="AK191" s="145"/>
      <c r="AL191" s="145"/>
      <c r="AM191" s="145"/>
      <c r="AN191" s="145"/>
      <c r="AO191" s="145"/>
      <c r="AP191" s="145"/>
      <c r="AQ191" s="145"/>
      <c r="AR191" s="145"/>
      <c r="AS191" s="145"/>
      <c r="AT191" s="145"/>
      <c r="AU191" s="145"/>
      <c r="AV191" s="145"/>
      <c r="AW191" s="145"/>
      <c r="AX191" s="145"/>
      <c r="AY191" s="145"/>
      <c r="AZ191" s="145"/>
      <c r="BA191" s="145"/>
      <c r="BB191" s="145"/>
      <c r="BC191" s="145"/>
      <c r="BD191" s="145"/>
      <c r="BE191" s="145"/>
      <c r="BF191" s="145"/>
      <c r="BG191" s="145"/>
      <c r="BH191" s="145"/>
    </row>
    <row r="192" spans="1:60" outlineLevel="3" x14ac:dyDescent="0.25">
      <c r="A192" s="152"/>
      <c r="B192" s="153"/>
      <c r="C192" s="187" t="s">
        <v>1052</v>
      </c>
      <c r="D192" s="184"/>
      <c r="E192" s="185">
        <f>O173</f>
        <v>0.02</v>
      </c>
      <c r="F192" s="155"/>
      <c r="G192" s="155"/>
      <c r="H192" s="155"/>
      <c r="I192" s="155"/>
      <c r="J192" s="155"/>
      <c r="K192" s="155"/>
      <c r="L192" s="155"/>
      <c r="M192" s="155"/>
      <c r="N192" s="154"/>
      <c r="O192" s="154"/>
      <c r="P192" s="154"/>
      <c r="Q192" s="154"/>
      <c r="R192" s="155"/>
      <c r="S192" s="155"/>
      <c r="T192" s="155"/>
      <c r="U192" s="155"/>
      <c r="V192" s="155"/>
      <c r="W192" s="155"/>
      <c r="X192" s="155"/>
      <c r="Y192" s="155"/>
      <c r="Z192" s="145"/>
      <c r="AA192" s="145"/>
      <c r="AB192" s="145"/>
      <c r="AC192" s="145"/>
      <c r="AD192" s="145"/>
      <c r="AE192" s="145"/>
      <c r="AF192" s="145"/>
      <c r="AG192" s="145" t="s">
        <v>198</v>
      </c>
      <c r="AH192" s="145">
        <v>6</v>
      </c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outlineLevel="3" x14ac:dyDescent="0.25">
      <c r="A193" s="152"/>
      <c r="B193" s="153"/>
      <c r="C193" s="187" t="s">
        <v>1050</v>
      </c>
      <c r="D193" s="184"/>
      <c r="E193" s="185">
        <f>O176</f>
        <v>0.11</v>
      </c>
      <c r="F193" s="155"/>
      <c r="G193" s="155"/>
      <c r="H193" s="155"/>
      <c r="I193" s="155"/>
      <c r="J193" s="155"/>
      <c r="K193" s="155"/>
      <c r="L193" s="155"/>
      <c r="M193" s="155"/>
      <c r="N193" s="154"/>
      <c r="O193" s="154"/>
      <c r="P193" s="154"/>
      <c r="Q193" s="154"/>
      <c r="R193" s="155"/>
      <c r="S193" s="155"/>
      <c r="T193" s="155"/>
      <c r="U193" s="155"/>
      <c r="V193" s="155"/>
      <c r="W193" s="155"/>
      <c r="X193" s="155"/>
      <c r="Y193" s="155"/>
      <c r="Z193" s="145"/>
      <c r="AA193" s="145"/>
      <c r="AB193" s="145"/>
      <c r="AC193" s="145"/>
      <c r="AD193" s="145"/>
      <c r="AE193" s="145"/>
      <c r="AF193" s="145"/>
      <c r="AG193" s="145" t="s">
        <v>198</v>
      </c>
      <c r="AH193" s="145">
        <v>6</v>
      </c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  <c r="BA193" s="145"/>
      <c r="BB193" s="145"/>
      <c r="BC193" s="145"/>
      <c r="BD193" s="145"/>
      <c r="BE193" s="145"/>
      <c r="BF193" s="145"/>
      <c r="BG193" s="145"/>
      <c r="BH193" s="145"/>
    </row>
    <row r="194" spans="1:60" outlineLevel="3" x14ac:dyDescent="0.25">
      <c r="A194" s="152"/>
      <c r="B194" s="153"/>
      <c r="C194" s="187" t="s">
        <v>1051</v>
      </c>
      <c r="D194" s="184"/>
      <c r="E194" s="185">
        <f>O179</f>
        <v>0.11</v>
      </c>
      <c r="F194" s="155"/>
      <c r="G194" s="155"/>
      <c r="H194" s="155"/>
      <c r="I194" s="155"/>
      <c r="J194" s="155"/>
      <c r="K194" s="155"/>
      <c r="L194" s="155"/>
      <c r="M194" s="155"/>
      <c r="N194" s="154"/>
      <c r="O194" s="154"/>
      <c r="P194" s="154"/>
      <c r="Q194" s="154"/>
      <c r="R194" s="155"/>
      <c r="S194" s="155"/>
      <c r="T194" s="155"/>
      <c r="U194" s="155"/>
      <c r="V194" s="155"/>
      <c r="W194" s="155"/>
      <c r="X194" s="155"/>
      <c r="Y194" s="155"/>
      <c r="Z194" s="145"/>
      <c r="AA194" s="145"/>
      <c r="AB194" s="145"/>
      <c r="AC194" s="145"/>
      <c r="AD194" s="145"/>
      <c r="AE194" s="145"/>
      <c r="AF194" s="145"/>
      <c r="AG194" s="145" t="s">
        <v>198</v>
      </c>
      <c r="AH194" s="145">
        <v>6</v>
      </c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outlineLevel="3" x14ac:dyDescent="0.25">
      <c r="A195" s="152"/>
      <c r="B195" s="153"/>
      <c r="C195" s="187" t="s">
        <v>1049</v>
      </c>
      <c r="D195" s="184"/>
      <c r="E195" s="185">
        <f>O180</f>
        <v>0.02</v>
      </c>
      <c r="F195" s="155"/>
      <c r="G195" s="155"/>
      <c r="H195" s="155"/>
      <c r="I195" s="155"/>
      <c r="J195" s="155"/>
      <c r="K195" s="155"/>
      <c r="L195" s="155"/>
      <c r="M195" s="155"/>
      <c r="N195" s="154"/>
      <c r="O195" s="154"/>
      <c r="P195" s="154"/>
      <c r="Q195" s="154"/>
      <c r="R195" s="155"/>
      <c r="S195" s="155"/>
      <c r="T195" s="155"/>
      <c r="U195" s="155"/>
      <c r="V195" s="155"/>
      <c r="W195" s="155"/>
      <c r="X195" s="155"/>
      <c r="Y195" s="155"/>
      <c r="Z195" s="145"/>
      <c r="AA195" s="145"/>
      <c r="AB195" s="145"/>
      <c r="AC195" s="145"/>
      <c r="AD195" s="145"/>
      <c r="AE195" s="145"/>
      <c r="AF195" s="145"/>
      <c r="AG195" s="145" t="s">
        <v>198</v>
      </c>
      <c r="AH195" s="145">
        <v>6</v>
      </c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outlineLevel="3" x14ac:dyDescent="0.25">
      <c r="A196" s="152"/>
      <c r="B196" s="153"/>
      <c r="C196" s="187" t="s">
        <v>1048</v>
      </c>
      <c r="D196" s="184"/>
      <c r="E196" s="185">
        <f>O184</f>
        <v>0.01</v>
      </c>
      <c r="F196" s="155"/>
      <c r="G196" s="155"/>
      <c r="H196" s="155"/>
      <c r="I196" s="155"/>
      <c r="J196" s="155"/>
      <c r="K196" s="155"/>
      <c r="L196" s="155"/>
      <c r="M196" s="155"/>
      <c r="N196" s="154"/>
      <c r="O196" s="154"/>
      <c r="P196" s="154"/>
      <c r="Q196" s="154"/>
      <c r="R196" s="155"/>
      <c r="S196" s="155"/>
      <c r="T196" s="155"/>
      <c r="U196" s="155"/>
      <c r="V196" s="155"/>
      <c r="W196" s="155"/>
      <c r="X196" s="155"/>
      <c r="Y196" s="155"/>
      <c r="Z196" s="145"/>
      <c r="AA196" s="145"/>
      <c r="AB196" s="145"/>
      <c r="AC196" s="145"/>
      <c r="AD196" s="145"/>
      <c r="AE196" s="145"/>
      <c r="AF196" s="145"/>
      <c r="AG196" s="145" t="s">
        <v>198</v>
      </c>
      <c r="AH196" s="145">
        <v>6</v>
      </c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x14ac:dyDescent="0.25">
      <c r="A197" s="159" t="s">
        <v>139</v>
      </c>
      <c r="B197" s="160" t="s">
        <v>87</v>
      </c>
      <c r="C197" s="178" t="s">
        <v>88</v>
      </c>
      <c r="D197" s="161"/>
      <c r="E197" s="162"/>
      <c r="F197" s="163"/>
      <c r="G197" s="164">
        <f>SUMIF(AG198:AG208,"&lt;&gt;NOR",G198:G208)</f>
        <v>0</v>
      </c>
      <c r="H197" s="158"/>
      <c r="I197" s="158">
        <f>SUM(I198:I208)</f>
        <v>64380.92</v>
      </c>
      <c r="J197" s="158"/>
      <c r="K197" s="158">
        <f>SUM(K198:K208)</f>
        <v>50610.74</v>
      </c>
      <c r="L197" s="158"/>
      <c r="M197" s="158">
        <f>SUM(M198:M208)</f>
        <v>0</v>
      </c>
      <c r="N197" s="157"/>
      <c r="O197" s="157">
        <f>SUM(O198:O208)</f>
        <v>0.28000000000000003</v>
      </c>
      <c r="P197" s="157"/>
      <c r="Q197" s="157">
        <f>SUM(Q198:Q208)</f>
        <v>0</v>
      </c>
      <c r="R197" s="158"/>
      <c r="S197" s="158"/>
      <c r="T197" s="158"/>
      <c r="U197" s="158"/>
      <c r="V197" s="158">
        <f>SUM(V198:V208)</f>
        <v>91.899999999999991</v>
      </c>
      <c r="W197" s="158"/>
      <c r="X197" s="158"/>
      <c r="Y197" s="158"/>
      <c r="AG197" t="s">
        <v>140</v>
      </c>
    </row>
    <row r="198" spans="1:60" outlineLevel="1" x14ac:dyDescent="0.25">
      <c r="A198" s="172">
        <v>77</v>
      </c>
      <c r="B198" s="173" t="s">
        <v>392</v>
      </c>
      <c r="C198" s="179" t="s">
        <v>393</v>
      </c>
      <c r="D198" s="174" t="s">
        <v>197</v>
      </c>
      <c r="E198" s="175">
        <v>95.03</v>
      </c>
      <c r="F198" s="176"/>
      <c r="G198" s="177">
        <f>ROUND(E198*F198,2)</f>
        <v>0</v>
      </c>
      <c r="H198" s="156">
        <v>0</v>
      </c>
      <c r="I198" s="155">
        <f>ROUND(E198*H198,2)</f>
        <v>0</v>
      </c>
      <c r="J198" s="156">
        <v>54.5</v>
      </c>
      <c r="K198" s="155">
        <f>ROUND(E198*J198,2)</f>
        <v>5179.1400000000003</v>
      </c>
      <c r="L198" s="155">
        <v>21</v>
      </c>
      <c r="M198" s="155">
        <f>G198*(1+L198/100)</f>
        <v>0</v>
      </c>
      <c r="N198" s="154">
        <v>0</v>
      </c>
      <c r="O198" s="154">
        <f>ROUND(E198*N198,2)</f>
        <v>0</v>
      </c>
      <c r="P198" s="154">
        <v>0</v>
      </c>
      <c r="Q198" s="154">
        <f>ROUND(E198*P198,2)</f>
        <v>0</v>
      </c>
      <c r="R198" s="155"/>
      <c r="S198" s="155" t="s">
        <v>999</v>
      </c>
      <c r="T198" s="155" t="s">
        <v>999</v>
      </c>
      <c r="U198" s="155">
        <v>0.1</v>
      </c>
      <c r="V198" s="155">
        <f>ROUND(E198*U198,2)</f>
        <v>9.5</v>
      </c>
      <c r="W198" s="155"/>
      <c r="X198" s="155" t="s">
        <v>146</v>
      </c>
      <c r="Y198" s="155" t="s">
        <v>147</v>
      </c>
      <c r="Z198" s="145"/>
      <c r="AA198" s="145"/>
      <c r="AB198" s="145"/>
      <c r="AC198" s="145"/>
      <c r="AD198" s="145"/>
      <c r="AE198" s="145"/>
      <c r="AF198" s="145"/>
      <c r="AG198" s="145" t="s">
        <v>148</v>
      </c>
      <c r="AH198" s="145"/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outlineLevel="1" x14ac:dyDescent="0.25">
      <c r="A199" s="172">
        <v>78</v>
      </c>
      <c r="B199" s="173" t="s">
        <v>366</v>
      </c>
      <c r="C199" s="179" t="s">
        <v>367</v>
      </c>
      <c r="D199" s="174" t="s">
        <v>197</v>
      </c>
      <c r="E199" s="175">
        <v>104.533</v>
      </c>
      <c r="F199" s="176"/>
      <c r="G199" s="177">
        <f>ROUND(E199*F199,2)</f>
        <v>0</v>
      </c>
      <c r="H199" s="156">
        <v>61.9</v>
      </c>
      <c r="I199" s="155">
        <f>ROUND(E199*H199,2)</f>
        <v>6470.59</v>
      </c>
      <c r="J199" s="156">
        <v>0</v>
      </c>
      <c r="K199" s="155">
        <f>ROUND(E199*J199,2)</f>
        <v>0</v>
      </c>
      <c r="L199" s="155">
        <v>21</v>
      </c>
      <c r="M199" s="155">
        <f>G199*(1+L199/100)</f>
        <v>0</v>
      </c>
      <c r="N199" s="154">
        <v>2.9999999999999997E-4</v>
      </c>
      <c r="O199" s="154">
        <f>ROUND(E199*N199,2)</f>
        <v>0.03</v>
      </c>
      <c r="P199" s="154">
        <v>0</v>
      </c>
      <c r="Q199" s="154">
        <f>ROUND(E199*P199,2)</f>
        <v>0</v>
      </c>
      <c r="R199" s="155" t="s">
        <v>266</v>
      </c>
      <c r="S199" s="155" t="s">
        <v>999</v>
      </c>
      <c r="T199" s="155" t="s">
        <v>999</v>
      </c>
      <c r="U199" s="155">
        <v>0</v>
      </c>
      <c r="V199" s="155">
        <f>ROUND(E199*U199,2)</f>
        <v>0</v>
      </c>
      <c r="W199" s="155"/>
      <c r="X199" s="155" t="s">
        <v>261</v>
      </c>
      <c r="Y199" s="155" t="s">
        <v>147</v>
      </c>
      <c r="Z199" s="145"/>
      <c r="AA199" s="145"/>
      <c r="AB199" s="145"/>
      <c r="AC199" s="145"/>
      <c r="AD199" s="145"/>
      <c r="AE199" s="145"/>
      <c r="AF199" s="145"/>
      <c r="AG199" s="145" t="s">
        <v>262</v>
      </c>
      <c r="AH199" s="145"/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ht="20.399999999999999" outlineLevel="1" x14ac:dyDescent="0.25">
      <c r="A200" s="166">
        <v>79</v>
      </c>
      <c r="B200" s="167" t="s">
        <v>394</v>
      </c>
      <c r="C200" s="180" t="s">
        <v>395</v>
      </c>
      <c r="D200" s="168" t="s">
        <v>197</v>
      </c>
      <c r="E200" s="169">
        <v>95.03</v>
      </c>
      <c r="F200" s="170"/>
      <c r="G200" s="171">
        <f>ROUND(E200*F200,2)</f>
        <v>0</v>
      </c>
      <c r="H200" s="156">
        <v>96.24</v>
      </c>
      <c r="I200" s="155">
        <f>ROUND(E200*H200,2)</f>
        <v>9145.69</v>
      </c>
      <c r="J200" s="156">
        <v>463.76</v>
      </c>
      <c r="K200" s="155">
        <f>ROUND(E200*J200,2)</f>
        <v>44071.11</v>
      </c>
      <c r="L200" s="155">
        <v>21</v>
      </c>
      <c r="M200" s="155">
        <f>G200*(1+L200/100)</f>
        <v>0</v>
      </c>
      <c r="N200" s="154">
        <v>0</v>
      </c>
      <c r="O200" s="154">
        <f>ROUND(E200*N200,2)</f>
        <v>0</v>
      </c>
      <c r="P200" s="154">
        <v>0</v>
      </c>
      <c r="Q200" s="154">
        <f>ROUND(E200*P200,2)</f>
        <v>0</v>
      </c>
      <c r="R200" s="155"/>
      <c r="S200" s="155" t="s">
        <v>999</v>
      </c>
      <c r="T200" s="155" t="s">
        <v>999</v>
      </c>
      <c r="U200" s="155">
        <v>0.85</v>
      </c>
      <c r="V200" s="155">
        <f>ROUND(E200*U200,2)</f>
        <v>80.78</v>
      </c>
      <c r="W200" s="155"/>
      <c r="X200" s="155" t="s">
        <v>146</v>
      </c>
      <c r="Y200" s="155" t="s">
        <v>147</v>
      </c>
      <c r="Z200" s="145"/>
      <c r="AA200" s="145"/>
      <c r="AB200" s="145"/>
      <c r="AC200" s="145"/>
      <c r="AD200" s="145"/>
      <c r="AE200" s="145"/>
      <c r="AF200" s="145"/>
      <c r="AG200" s="145" t="s">
        <v>148</v>
      </c>
      <c r="AH200" s="145"/>
      <c r="AI200" s="145"/>
      <c r="AJ200" s="145"/>
      <c r="AK200" s="145"/>
      <c r="AL200" s="145"/>
      <c r="AM200" s="145"/>
      <c r="AN200" s="145"/>
      <c r="AO200" s="145"/>
      <c r="AP200" s="145"/>
      <c r="AQ200" s="145"/>
      <c r="AR200" s="145"/>
      <c r="AS200" s="145"/>
      <c r="AT200" s="145"/>
      <c r="AU200" s="145"/>
      <c r="AV200" s="145"/>
      <c r="AW200" s="145"/>
      <c r="AX200" s="145"/>
      <c r="AY200" s="145"/>
      <c r="AZ200" s="145"/>
      <c r="BA200" s="145"/>
      <c r="BB200" s="145"/>
      <c r="BC200" s="145"/>
      <c r="BD200" s="145"/>
      <c r="BE200" s="145"/>
      <c r="BF200" s="145"/>
      <c r="BG200" s="145"/>
      <c r="BH200" s="145"/>
    </row>
    <row r="201" spans="1:60" outlineLevel="2" x14ac:dyDescent="0.25">
      <c r="A201" s="152"/>
      <c r="B201" s="153"/>
      <c r="C201" s="510" t="s">
        <v>396</v>
      </c>
      <c r="D201" s="511"/>
      <c r="E201" s="511"/>
      <c r="F201" s="511"/>
      <c r="G201" s="511"/>
      <c r="H201" s="155"/>
      <c r="I201" s="155"/>
      <c r="J201" s="155"/>
      <c r="K201" s="155"/>
      <c r="L201" s="155"/>
      <c r="M201" s="155"/>
      <c r="N201" s="154"/>
      <c r="O201" s="154"/>
      <c r="P201" s="154"/>
      <c r="Q201" s="154"/>
      <c r="R201" s="155"/>
      <c r="S201" s="155"/>
      <c r="T201" s="155"/>
      <c r="U201" s="155"/>
      <c r="V201" s="155"/>
      <c r="W201" s="155"/>
      <c r="X201" s="155"/>
      <c r="Y201" s="155"/>
      <c r="Z201" s="145"/>
      <c r="AA201" s="145"/>
      <c r="AB201" s="145"/>
      <c r="AC201" s="145"/>
      <c r="AD201" s="145"/>
      <c r="AE201" s="145"/>
      <c r="AF201" s="145"/>
      <c r="AG201" s="145" t="s">
        <v>225</v>
      </c>
      <c r="AH201" s="145"/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outlineLevel="1" x14ac:dyDescent="0.25">
      <c r="A202" s="172">
        <v>80</v>
      </c>
      <c r="B202" s="173" t="s">
        <v>397</v>
      </c>
      <c r="C202" s="179" t="s">
        <v>398</v>
      </c>
      <c r="D202" s="174" t="s">
        <v>197</v>
      </c>
      <c r="E202" s="175">
        <v>104.533</v>
      </c>
      <c r="F202" s="176"/>
      <c r="G202" s="177">
        <f>ROUND(E202*F202,2)</f>
        <v>0</v>
      </c>
      <c r="H202" s="156">
        <v>466.5</v>
      </c>
      <c r="I202" s="155">
        <f>ROUND(E202*H202,2)</f>
        <v>48764.639999999999</v>
      </c>
      <c r="J202" s="156">
        <v>0</v>
      </c>
      <c r="K202" s="155">
        <f>ROUND(E202*J202,2)</f>
        <v>0</v>
      </c>
      <c r="L202" s="155">
        <v>21</v>
      </c>
      <c r="M202" s="155">
        <f>G202*(1+L202/100)</f>
        <v>0</v>
      </c>
      <c r="N202" s="154">
        <v>2.2000000000000001E-3</v>
      </c>
      <c r="O202" s="154">
        <f>ROUND(E202*N202,2)</f>
        <v>0.23</v>
      </c>
      <c r="P202" s="154">
        <v>0</v>
      </c>
      <c r="Q202" s="154">
        <f>ROUND(E202*P202,2)</f>
        <v>0</v>
      </c>
      <c r="R202" s="155"/>
      <c r="S202" s="155" t="s">
        <v>999</v>
      </c>
      <c r="T202" s="155" t="s">
        <v>999</v>
      </c>
      <c r="U202" s="155">
        <v>0</v>
      </c>
      <c r="V202" s="155">
        <f>ROUND(E202*U202,2)</f>
        <v>0</v>
      </c>
      <c r="W202" s="155"/>
      <c r="X202" s="155" t="s">
        <v>358</v>
      </c>
      <c r="Y202" s="155" t="s">
        <v>147</v>
      </c>
      <c r="Z202" s="145"/>
      <c r="AA202" s="145"/>
      <c r="AB202" s="145"/>
      <c r="AC202" s="145"/>
      <c r="AD202" s="145"/>
      <c r="AE202" s="145"/>
      <c r="AF202" s="145"/>
      <c r="AG202" s="145" t="s">
        <v>359</v>
      </c>
      <c r="AH202" s="145"/>
      <c r="AI202" s="145"/>
      <c r="AJ202" s="145"/>
      <c r="AK202" s="145"/>
      <c r="AL202" s="145"/>
      <c r="AM202" s="145"/>
      <c r="AN202" s="145"/>
      <c r="AO202" s="145"/>
      <c r="AP202" s="145"/>
      <c r="AQ202" s="145"/>
      <c r="AR202" s="145"/>
      <c r="AS202" s="145"/>
      <c r="AT202" s="145"/>
      <c r="AU202" s="145"/>
      <c r="AV202" s="145"/>
      <c r="AW202" s="145"/>
      <c r="AX202" s="145"/>
      <c r="AY202" s="145"/>
      <c r="AZ202" s="145"/>
      <c r="BA202" s="145"/>
      <c r="BB202" s="145"/>
      <c r="BC202" s="145"/>
      <c r="BD202" s="145"/>
      <c r="BE202" s="145"/>
      <c r="BF202" s="145"/>
      <c r="BG202" s="145"/>
      <c r="BH202" s="145"/>
    </row>
    <row r="203" spans="1:60" outlineLevel="1" x14ac:dyDescent="0.25">
      <c r="A203" s="166">
        <v>81</v>
      </c>
      <c r="B203" s="167" t="s">
        <v>399</v>
      </c>
      <c r="C203" s="180" t="s">
        <v>400</v>
      </c>
      <c r="D203" s="168" t="s">
        <v>192</v>
      </c>
      <c r="E203" s="169">
        <v>35.1</v>
      </c>
      <c r="F203" s="170"/>
      <c r="G203" s="171">
        <f>ROUND(E203*F203,2)</f>
        <v>0</v>
      </c>
      <c r="H203" s="156">
        <v>0</v>
      </c>
      <c r="I203" s="155">
        <f>ROUND(E203*H203,2)</f>
        <v>0</v>
      </c>
      <c r="J203" s="156">
        <v>27.2</v>
      </c>
      <c r="K203" s="155">
        <f>ROUND(E203*J203,2)</f>
        <v>954.72</v>
      </c>
      <c r="L203" s="155">
        <v>21</v>
      </c>
      <c r="M203" s="155">
        <f>G203*(1+L203/100)</f>
        <v>0</v>
      </c>
      <c r="N203" s="154">
        <v>5.0000000000000001E-4</v>
      </c>
      <c r="O203" s="154">
        <f>ROUND(E203*N203,2)</f>
        <v>0.02</v>
      </c>
      <c r="P203" s="154">
        <v>0</v>
      </c>
      <c r="Q203" s="154">
        <f>ROUND(E203*P203,2)</f>
        <v>0</v>
      </c>
      <c r="R203" s="155"/>
      <c r="S203" s="155" t="s">
        <v>144</v>
      </c>
      <c r="T203" s="155" t="s">
        <v>999</v>
      </c>
      <c r="U203" s="155">
        <v>0.03</v>
      </c>
      <c r="V203" s="155">
        <f>ROUND(E203*U203,2)</f>
        <v>1.05</v>
      </c>
      <c r="W203" s="155"/>
      <c r="X203" s="155" t="s">
        <v>146</v>
      </c>
      <c r="Y203" s="155" t="s">
        <v>147</v>
      </c>
      <c r="Z203" s="145"/>
      <c r="AA203" s="145"/>
      <c r="AB203" s="145"/>
      <c r="AC203" s="145"/>
      <c r="AD203" s="145"/>
      <c r="AE203" s="145"/>
      <c r="AF203" s="145"/>
      <c r="AG203" s="145" t="s">
        <v>148</v>
      </c>
      <c r="AH203" s="145"/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2" x14ac:dyDescent="0.25">
      <c r="A204" s="152"/>
      <c r="B204" s="153"/>
      <c r="C204" s="187" t="s">
        <v>401</v>
      </c>
      <c r="D204" s="184"/>
      <c r="E204" s="185">
        <v>35.1</v>
      </c>
      <c r="F204" s="155"/>
      <c r="G204" s="155"/>
      <c r="H204" s="155"/>
      <c r="I204" s="155"/>
      <c r="J204" s="155"/>
      <c r="K204" s="155"/>
      <c r="L204" s="155"/>
      <c r="M204" s="155"/>
      <c r="N204" s="154"/>
      <c r="O204" s="154"/>
      <c r="P204" s="154"/>
      <c r="Q204" s="154"/>
      <c r="R204" s="155"/>
      <c r="S204" s="155"/>
      <c r="T204" s="155"/>
      <c r="U204" s="155"/>
      <c r="V204" s="155"/>
      <c r="W204" s="155"/>
      <c r="X204" s="155"/>
      <c r="Y204" s="155"/>
      <c r="Z204" s="145"/>
      <c r="AA204" s="145"/>
      <c r="AB204" s="145"/>
      <c r="AC204" s="145"/>
      <c r="AD204" s="145"/>
      <c r="AE204" s="145"/>
      <c r="AF204" s="145"/>
      <c r="AG204" s="145" t="s">
        <v>198</v>
      </c>
      <c r="AH204" s="145">
        <v>0</v>
      </c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outlineLevel="1" x14ac:dyDescent="0.25">
      <c r="A205" s="166">
        <v>82</v>
      </c>
      <c r="B205" s="167" t="s">
        <v>402</v>
      </c>
      <c r="C205" s="180" t="s">
        <v>403</v>
      </c>
      <c r="D205" s="168" t="s">
        <v>228</v>
      </c>
      <c r="E205" s="169">
        <v>0.27888000000000002</v>
      </c>
      <c r="F205" s="170"/>
      <c r="G205" s="171">
        <f>ROUND(E205*F205,2)</f>
        <v>0</v>
      </c>
      <c r="H205" s="156">
        <v>0</v>
      </c>
      <c r="I205" s="155">
        <f>ROUND(E205*H205,2)</f>
        <v>0</v>
      </c>
      <c r="J205" s="156">
        <v>1455</v>
      </c>
      <c r="K205" s="155">
        <f>ROUND(E205*J205,2)</f>
        <v>405.77</v>
      </c>
      <c r="L205" s="155">
        <v>21</v>
      </c>
      <c r="M205" s="155">
        <f>G205*(1+L205/100)</f>
        <v>0</v>
      </c>
      <c r="N205" s="154">
        <v>0</v>
      </c>
      <c r="O205" s="154">
        <f>ROUND(E205*N205,2)</f>
        <v>0</v>
      </c>
      <c r="P205" s="154">
        <v>0</v>
      </c>
      <c r="Q205" s="154">
        <f>ROUND(E205*P205,2)</f>
        <v>0</v>
      </c>
      <c r="R205" s="155"/>
      <c r="S205" s="155" t="s">
        <v>999</v>
      </c>
      <c r="T205" s="155" t="s">
        <v>999</v>
      </c>
      <c r="U205" s="155">
        <v>2.0499999999999998</v>
      </c>
      <c r="V205" s="155">
        <f>ROUND(E205*U205,2)</f>
        <v>0.56999999999999995</v>
      </c>
      <c r="W205" s="155"/>
      <c r="X205" s="155" t="s">
        <v>146</v>
      </c>
      <c r="Y205" s="155" t="s">
        <v>147</v>
      </c>
      <c r="Z205" s="145"/>
      <c r="AA205" s="145"/>
      <c r="AB205" s="145"/>
      <c r="AC205" s="145"/>
      <c r="AD205" s="145"/>
      <c r="AE205" s="145"/>
      <c r="AF205" s="145"/>
      <c r="AG205" s="145" t="s">
        <v>148</v>
      </c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45"/>
      <c r="BB205" s="145"/>
      <c r="BC205" s="145"/>
      <c r="BD205" s="145"/>
      <c r="BE205" s="145"/>
      <c r="BF205" s="145"/>
      <c r="BG205" s="145"/>
      <c r="BH205" s="145"/>
    </row>
    <row r="206" spans="1:60" outlineLevel="3" x14ac:dyDescent="0.25">
      <c r="A206" s="152"/>
      <c r="B206" s="153"/>
      <c r="C206" s="187" t="s">
        <v>404</v>
      </c>
      <c r="D206" s="184"/>
      <c r="E206" s="185">
        <v>3.1359999999999999E-2</v>
      </c>
      <c r="F206" s="155"/>
      <c r="G206" s="155"/>
      <c r="H206" s="155"/>
      <c r="I206" s="155"/>
      <c r="J206" s="155"/>
      <c r="K206" s="155"/>
      <c r="L206" s="155"/>
      <c r="M206" s="155"/>
      <c r="N206" s="154"/>
      <c r="O206" s="154"/>
      <c r="P206" s="154"/>
      <c r="Q206" s="154"/>
      <c r="R206" s="155"/>
      <c r="S206" s="155"/>
      <c r="T206" s="155"/>
      <c r="U206" s="155"/>
      <c r="V206" s="155"/>
      <c r="W206" s="155"/>
      <c r="X206" s="155"/>
      <c r="Y206" s="155"/>
      <c r="Z206" s="145"/>
      <c r="AA206" s="145"/>
      <c r="AB206" s="145"/>
      <c r="AC206" s="145"/>
      <c r="AD206" s="145"/>
      <c r="AE206" s="145"/>
      <c r="AF206" s="145"/>
      <c r="AG206" s="145" t="s">
        <v>198</v>
      </c>
      <c r="AH206" s="145">
        <v>6</v>
      </c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outlineLevel="3" x14ac:dyDescent="0.25">
      <c r="A207" s="152"/>
      <c r="B207" s="153"/>
      <c r="C207" s="187" t="s">
        <v>405</v>
      </c>
      <c r="D207" s="184"/>
      <c r="E207" s="185">
        <v>0.22997000000000001</v>
      </c>
      <c r="F207" s="155"/>
      <c r="G207" s="155"/>
      <c r="H207" s="155"/>
      <c r="I207" s="155"/>
      <c r="J207" s="155"/>
      <c r="K207" s="155"/>
      <c r="L207" s="155"/>
      <c r="M207" s="155"/>
      <c r="N207" s="154"/>
      <c r="O207" s="154"/>
      <c r="P207" s="154"/>
      <c r="Q207" s="154"/>
      <c r="R207" s="155"/>
      <c r="S207" s="155"/>
      <c r="T207" s="155"/>
      <c r="U207" s="155"/>
      <c r="V207" s="155"/>
      <c r="W207" s="155"/>
      <c r="X207" s="155"/>
      <c r="Y207" s="155"/>
      <c r="Z207" s="145"/>
      <c r="AA207" s="145"/>
      <c r="AB207" s="145"/>
      <c r="AC207" s="145"/>
      <c r="AD207" s="145"/>
      <c r="AE207" s="145"/>
      <c r="AF207" s="145"/>
      <c r="AG207" s="145" t="s">
        <v>198</v>
      </c>
      <c r="AH207" s="145">
        <v>6</v>
      </c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3" x14ac:dyDescent="0.25">
      <c r="A208" s="152"/>
      <c r="B208" s="153"/>
      <c r="C208" s="187" t="s">
        <v>406</v>
      </c>
      <c r="D208" s="184"/>
      <c r="E208" s="185">
        <v>1.755E-2</v>
      </c>
      <c r="F208" s="155"/>
      <c r="G208" s="155"/>
      <c r="H208" s="155"/>
      <c r="I208" s="155"/>
      <c r="J208" s="155"/>
      <c r="K208" s="155"/>
      <c r="L208" s="155"/>
      <c r="M208" s="155"/>
      <c r="N208" s="154"/>
      <c r="O208" s="154"/>
      <c r="P208" s="154"/>
      <c r="Q208" s="154"/>
      <c r="R208" s="155"/>
      <c r="S208" s="155"/>
      <c r="T208" s="155"/>
      <c r="U208" s="155"/>
      <c r="V208" s="155"/>
      <c r="W208" s="155"/>
      <c r="X208" s="155"/>
      <c r="Y208" s="155"/>
      <c r="Z208" s="145"/>
      <c r="AA208" s="145"/>
      <c r="AB208" s="145"/>
      <c r="AC208" s="145"/>
      <c r="AD208" s="145"/>
      <c r="AE208" s="145"/>
      <c r="AF208" s="145"/>
      <c r="AG208" s="145" t="s">
        <v>198</v>
      </c>
      <c r="AH208" s="145">
        <v>6</v>
      </c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x14ac:dyDescent="0.25">
      <c r="A209" s="159" t="s">
        <v>139</v>
      </c>
      <c r="B209" s="160" t="s">
        <v>89</v>
      </c>
      <c r="C209" s="178" t="s">
        <v>90</v>
      </c>
      <c r="D209" s="161"/>
      <c r="E209" s="162"/>
      <c r="F209" s="163"/>
      <c r="G209" s="164">
        <f>SUMIF(AG210:AG221,"&lt;&gt;NOR",G210:G221)</f>
        <v>0</v>
      </c>
      <c r="H209" s="158"/>
      <c r="I209" s="158">
        <f>SUM(I210:I221)</f>
        <v>118713.67</v>
      </c>
      <c r="J209" s="158"/>
      <c r="K209" s="158">
        <f>SUM(K210:K221)</f>
        <v>21343.3</v>
      </c>
      <c r="L209" s="158"/>
      <c r="M209" s="158">
        <f>SUM(M210:M221)</f>
        <v>0</v>
      </c>
      <c r="N209" s="157"/>
      <c r="O209" s="157">
        <f>SUM(O210:O221)</f>
        <v>0.48</v>
      </c>
      <c r="P209" s="157"/>
      <c r="Q209" s="157">
        <f>SUM(Q210:Q221)</f>
        <v>0</v>
      </c>
      <c r="R209" s="158"/>
      <c r="S209" s="158"/>
      <c r="T209" s="158"/>
      <c r="U209" s="158"/>
      <c r="V209" s="158">
        <f>SUM(V210:V221)</f>
        <v>43.02000000000001</v>
      </c>
      <c r="W209" s="158"/>
      <c r="X209" s="158"/>
      <c r="Y209" s="158"/>
      <c r="AG209" t="s">
        <v>140</v>
      </c>
    </row>
    <row r="210" spans="1:60" outlineLevel="1" x14ac:dyDescent="0.25">
      <c r="A210" s="172">
        <v>83</v>
      </c>
      <c r="B210" s="173" t="s">
        <v>407</v>
      </c>
      <c r="C210" s="179" t="s">
        <v>408</v>
      </c>
      <c r="D210" s="174" t="s">
        <v>197</v>
      </c>
      <c r="E210" s="175">
        <v>18.12</v>
      </c>
      <c r="F210" s="176"/>
      <c r="G210" s="177">
        <f>ROUND(E210*F210,2)</f>
        <v>0</v>
      </c>
      <c r="H210" s="156">
        <v>0</v>
      </c>
      <c r="I210" s="155">
        <f>ROUND(E210*H210,2)</f>
        <v>0</v>
      </c>
      <c r="J210" s="156">
        <v>43.6</v>
      </c>
      <c r="K210" s="155">
        <f>ROUND(E210*J210,2)</f>
        <v>790.03</v>
      </c>
      <c r="L210" s="155">
        <v>21</v>
      </c>
      <c r="M210" s="155">
        <f>G210*(1+L210/100)</f>
        <v>0</v>
      </c>
      <c r="N210" s="154">
        <v>0</v>
      </c>
      <c r="O210" s="154">
        <f>ROUND(E210*N210,2)</f>
        <v>0</v>
      </c>
      <c r="P210" s="154">
        <v>0</v>
      </c>
      <c r="Q210" s="154">
        <f>ROUND(E210*P210,2)</f>
        <v>0</v>
      </c>
      <c r="R210" s="155"/>
      <c r="S210" s="155" t="s">
        <v>999</v>
      </c>
      <c r="T210" s="155" t="s">
        <v>999</v>
      </c>
      <c r="U210" s="155">
        <v>0.08</v>
      </c>
      <c r="V210" s="155">
        <f>ROUND(E210*U210,2)</f>
        <v>1.45</v>
      </c>
      <c r="W210" s="155"/>
      <c r="X210" s="155" t="s">
        <v>146</v>
      </c>
      <c r="Y210" s="155" t="s">
        <v>147</v>
      </c>
      <c r="Z210" s="145"/>
      <c r="AA210" s="145"/>
      <c r="AB210" s="145"/>
      <c r="AC210" s="145"/>
      <c r="AD210" s="145"/>
      <c r="AE210" s="145"/>
      <c r="AF210" s="145"/>
      <c r="AG210" s="145" t="s">
        <v>148</v>
      </c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ht="20.399999999999999" outlineLevel="1" x14ac:dyDescent="0.25">
      <c r="A211" s="172">
        <v>84</v>
      </c>
      <c r="B211" s="173" t="s">
        <v>409</v>
      </c>
      <c r="C211" s="179" t="s">
        <v>410</v>
      </c>
      <c r="D211" s="174" t="s">
        <v>197</v>
      </c>
      <c r="E211" s="175">
        <v>95.03</v>
      </c>
      <c r="F211" s="176"/>
      <c r="G211" s="177">
        <f>ROUND(E211*F211,2)</f>
        <v>0</v>
      </c>
      <c r="H211" s="156">
        <v>96.69</v>
      </c>
      <c r="I211" s="155">
        <f>ROUND(E211*H211,2)</f>
        <v>9188.4500000000007</v>
      </c>
      <c r="J211" s="156">
        <v>200.81</v>
      </c>
      <c r="K211" s="155">
        <f>ROUND(E211*J211,2)</f>
        <v>19082.97</v>
      </c>
      <c r="L211" s="155">
        <v>21</v>
      </c>
      <c r="M211" s="155">
        <f>G211*(1+L211/100)</f>
        <v>0</v>
      </c>
      <c r="N211" s="154">
        <v>0</v>
      </c>
      <c r="O211" s="154">
        <f>ROUND(E211*N211,2)</f>
        <v>0</v>
      </c>
      <c r="P211" s="154">
        <v>0</v>
      </c>
      <c r="Q211" s="154">
        <f>ROUND(E211*P211,2)</f>
        <v>0</v>
      </c>
      <c r="R211" s="155"/>
      <c r="S211" s="155" t="s">
        <v>999</v>
      </c>
      <c r="T211" s="155" t="s">
        <v>999</v>
      </c>
      <c r="U211" s="155">
        <v>0.41</v>
      </c>
      <c r="V211" s="155">
        <f>ROUND(E211*U211,2)</f>
        <v>38.96</v>
      </c>
      <c r="W211" s="155"/>
      <c r="X211" s="155" t="s">
        <v>146</v>
      </c>
      <c r="Y211" s="155" t="s">
        <v>147</v>
      </c>
      <c r="Z211" s="145"/>
      <c r="AA211" s="145"/>
      <c r="AB211" s="145"/>
      <c r="AC211" s="145"/>
      <c r="AD211" s="145"/>
      <c r="AE211" s="145"/>
      <c r="AF211" s="145"/>
      <c r="AG211" s="145" t="s">
        <v>148</v>
      </c>
      <c r="AH211" s="145"/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ht="20.399999999999999" outlineLevel="1" x14ac:dyDescent="0.25">
      <c r="A212" s="166">
        <v>85</v>
      </c>
      <c r="B212" s="167" t="s">
        <v>411</v>
      </c>
      <c r="C212" s="180" t="s">
        <v>412</v>
      </c>
      <c r="D212" s="168" t="s">
        <v>201</v>
      </c>
      <c r="E212" s="169">
        <v>15.932399999999999</v>
      </c>
      <c r="F212" s="170"/>
      <c r="G212" s="171">
        <f>ROUND(E212*F212,2)</f>
        <v>0</v>
      </c>
      <c r="H212" s="156">
        <v>6825</v>
      </c>
      <c r="I212" s="155">
        <f>ROUND(E212*H212,2)</f>
        <v>108738.63</v>
      </c>
      <c r="J212" s="156">
        <v>0</v>
      </c>
      <c r="K212" s="155">
        <f>ROUND(E212*J212,2)</f>
        <v>0</v>
      </c>
      <c r="L212" s="155">
        <v>21</v>
      </c>
      <c r="M212" s="155">
        <f>G212*(1+L212/100)</f>
        <v>0</v>
      </c>
      <c r="N212" s="154">
        <v>0.03</v>
      </c>
      <c r="O212" s="154">
        <f>ROUND(E212*N212,2)</f>
        <v>0.48</v>
      </c>
      <c r="P212" s="154">
        <v>0</v>
      </c>
      <c r="Q212" s="154">
        <f>ROUND(E212*P212,2)</f>
        <v>0</v>
      </c>
      <c r="R212" s="155" t="s">
        <v>266</v>
      </c>
      <c r="S212" s="155" t="s">
        <v>999</v>
      </c>
      <c r="T212" s="155" t="s">
        <v>999</v>
      </c>
      <c r="U212" s="155">
        <v>0</v>
      </c>
      <c r="V212" s="155">
        <f>ROUND(E212*U212,2)</f>
        <v>0</v>
      </c>
      <c r="W212" s="155"/>
      <c r="X212" s="155" t="s">
        <v>261</v>
      </c>
      <c r="Y212" s="155" t="s">
        <v>147</v>
      </c>
      <c r="Z212" s="145"/>
      <c r="AA212" s="145"/>
      <c r="AB212" s="145"/>
      <c r="AC212" s="145"/>
      <c r="AD212" s="145"/>
      <c r="AE212" s="145"/>
      <c r="AF212" s="145"/>
      <c r="AG212" s="145" t="s">
        <v>262</v>
      </c>
      <c r="AH212" s="145"/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outlineLevel="2" x14ac:dyDescent="0.25">
      <c r="A213" s="152"/>
      <c r="B213" s="153"/>
      <c r="C213" s="187" t="s">
        <v>413</v>
      </c>
      <c r="D213" s="184"/>
      <c r="E213" s="185">
        <v>3.3884400000000001</v>
      </c>
      <c r="F213" s="155"/>
      <c r="G213" s="155"/>
      <c r="H213" s="155"/>
      <c r="I213" s="155"/>
      <c r="J213" s="155"/>
      <c r="K213" s="155"/>
      <c r="L213" s="155"/>
      <c r="M213" s="155"/>
      <c r="N213" s="154"/>
      <c r="O213" s="154"/>
      <c r="P213" s="154"/>
      <c r="Q213" s="154"/>
      <c r="R213" s="155"/>
      <c r="S213" s="155"/>
      <c r="T213" s="155"/>
      <c r="U213" s="155"/>
      <c r="V213" s="155"/>
      <c r="W213" s="155"/>
      <c r="X213" s="155"/>
      <c r="Y213" s="155"/>
      <c r="Z213" s="145"/>
      <c r="AA213" s="145"/>
      <c r="AB213" s="145"/>
      <c r="AC213" s="145"/>
      <c r="AD213" s="145"/>
      <c r="AE213" s="145"/>
      <c r="AF213" s="145"/>
      <c r="AG213" s="145" t="s">
        <v>198</v>
      </c>
      <c r="AH213" s="145">
        <v>0</v>
      </c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outlineLevel="3" x14ac:dyDescent="0.25">
      <c r="A214" s="152"/>
      <c r="B214" s="153"/>
      <c r="C214" s="187" t="s">
        <v>414</v>
      </c>
      <c r="D214" s="184"/>
      <c r="E214" s="185">
        <v>12.54396</v>
      </c>
      <c r="F214" s="155"/>
      <c r="G214" s="155"/>
      <c r="H214" s="155"/>
      <c r="I214" s="155"/>
      <c r="J214" s="155"/>
      <c r="K214" s="155"/>
      <c r="L214" s="155"/>
      <c r="M214" s="155"/>
      <c r="N214" s="154"/>
      <c r="O214" s="154"/>
      <c r="P214" s="154"/>
      <c r="Q214" s="154"/>
      <c r="R214" s="155"/>
      <c r="S214" s="155"/>
      <c r="T214" s="155"/>
      <c r="U214" s="155"/>
      <c r="V214" s="155"/>
      <c r="W214" s="155"/>
      <c r="X214" s="155"/>
      <c r="Y214" s="155"/>
      <c r="Z214" s="145"/>
      <c r="AA214" s="145"/>
      <c r="AB214" s="145"/>
      <c r="AC214" s="145"/>
      <c r="AD214" s="145"/>
      <c r="AE214" s="145"/>
      <c r="AF214" s="145"/>
      <c r="AG214" s="145" t="s">
        <v>198</v>
      </c>
      <c r="AH214" s="145">
        <v>0</v>
      </c>
      <c r="AI214" s="145"/>
      <c r="AJ214" s="145"/>
      <c r="AK214" s="145"/>
      <c r="AL214" s="145"/>
      <c r="AM214" s="145"/>
      <c r="AN214" s="145"/>
      <c r="AO214" s="145"/>
      <c r="AP214" s="145"/>
      <c r="AQ214" s="145"/>
      <c r="AR214" s="145"/>
      <c r="AS214" s="145"/>
      <c r="AT214" s="145"/>
      <c r="AU214" s="145"/>
      <c r="AV214" s="145"/>
      <c r="AW214" s="145"/>
      <c r="AX214" s="145"/>
      <c r="AY214" s="145"/>
      <c r="AZ214" s="145"/>
      <c r="BA214" s="145"/>
      <c r="BB214" s="145"/>
      <c r="BC214" s="145"/>
      <c r="BD214" s="145"/>
      <c r="BE214" s="145"/>
      <c r="BF214" s="145"/>
      <c r="BG214" s="145"/>
      <c r="BH214" s="145"/>
    </row>
    <row r="215" spans="1:60" outlineLevel="1" x14ac:dyDescent="0.25">
      <c r="A215" s="166">
        <v>86</v>
      </c>
      <c r="B215" s="167" t="s">
        <v>415</v>
      </c>
      <c r="C215" s="180" t="s">
        <v>416</v>
      </c>
      <c r="D215" s="168" t="s">
        <v>192</v>
      </c>
      <c r="E215" s="169">
        <v>35.4</v>
      </c>
      <c r="F215" s="170"/>
      <c r="G215" s="171">
        <f>ROUND(E215*F215,2)</f>
        <v>0</v>
      </c>
      <c r="H215" s="156">
        <v>0</v>
      </c>
      <c r="I215" s="155">
        <f>ROUND(E215*H215,2)</f>
        <v>0</v>
      </c>
      <c r="J215" s="156">
        <v>27.3</v>
      </c>
      <c r="K215" s="155">
        <f>ROUND(E215*J215,2)</f>
        <v>966.42</v>
      </c>
      <c r="L215" s="155">
        <v>21</v>
      </c>
      <c r="M215" s="155">
        <f>G215*(1+L215/100)</f>
        <v>0</v>
      </c>
      <c r="N215" s="154">
        <v>0</v>
      </c>
      <c r="O215" s="154">
        <f>ROUND(E215*N215,2)</f>
        <v>0</v>
      </c>
      <c r="P215" s="154">
        <v>0</v>
      </c>
      <c r="Q215" s="154">
        <f>ROUND(E215*P215,2)</f>
        <v>0</v>
      </c>
      <c r="R215" s="155"/>
      <c r="S215" s="155" t="s">
        <v>999</v>
      </c>
      <c r="T215" s="155" t="s">
        <v>999</v>
      </c>
      <c r="U215" s="155">
        <v>0.05</v>
      </c>
      <c r="V215" s="155">
        <f>ROUND(E215*U215,2)</f>
        <v>1.77</v>
      </c>
      <c r="W215" s="155"/>
      <c r="X215" s="155" t="s">
        <v>146</v>
      </c>
      <c r="Y215" s="155" t="s">
        <v>147</v>
      </c>
      <c r="Z215" s="145"/>
      <c r="AA215" s="145"/>
      <c r="AB215" s="145"/>
      <c r="AC215" s="145"/>
      <c r="AD215" s="145"/>
      <c r="AE215" s="145"/>
      <c r="AF215" s="145"/>
      <c r="AG215" s="145" t="s">
        <v>148</v>
      </c>
      <c r="AH215" s="145"/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outlineLevel="2" x14ac:dyDescent="0.25">
      <c r="A216" s="152"/>
      <c r="B216" s="153"/>
      <c r="C216" s="187" t="s">
        <v>417</v>
      </c>
      <c r="D216" s="184"/>
      <c r="E216" s="185">
        <v>35.4</v>
      </c>
      <c r="F216" s="155"/>
      <c r="G216" s="155"/>
      <c r="H216" s="155"/>
      <c r="I216" s="155"/>
      <c r="J216" s="155"/>
      <c r="K216" s="155"/>
      <c r="L216" s="155"/>
      <c r="M216" s="155"/>
      <c r="N216" s="154"/>
      <c r="O216" s="154"/>
      <c r="P216" s="154"/>
      <c r="Q216" s="154"/>
      <c r="R216" s="155"/>
      <c r="S216" s="155"/>
      <c r="T216" s="155"/>
      <c r="U216" s="155"/>
      <c r="V216" s="155"/>
      <c r="W216" s="155"/>
      <c r="X216" s="155"/>
      <c r="Y216" s="155"/>
      <c r="Z216" s="145"/>
      <c r="AA216" s="145"/>
      <c r="AB216" s="145"/>
      <c r="AC216" s="145"/>
      <c r="AD216" s="145"/>
      <c r="AE216" s="145"/>
      <c r="AF216" s="145"/>
      <c r="AG216" s="145" t="s">
        <v>198</v>
      </c>
      <c r="AH216" s="145">
        <v>0</v>
      </c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outlineLevel="1" x14ac:dyDescent="0.25">
      <c r="A217" s="166">
        <v>87</v>
      </c>
      <c r="B217" s="167" t="s">
        <v>418</v>
      </c>
      <c r="C217" s="180" t="s">
        <v>419</v>
      </c>
      <c r="D217" s="168" t="s">
        <v>192</v>
      </c>
      <c r="E217" s="169">
        <v>38.94</v>
      </c>
      <c r="F217" s="170"/>
      <c r="G217" s="171">
        <f>ROUND(E217*F217,2)</f>
        <v>0</v>
      </c>
      <c r="H217" s="156">
        <v>20.2</v>
      </c>
      <c r="I217" s="155">
        <f>ROUND(E217*H217,2)</f>
        <v>786.59</v>
      </c>
      <c r="J217" s="156">
        <v>0</v>
      </c>
      <c r="K217" s="155">
        <f>ROUND(E217*J217,2)</f>
        <v>0</v>
      </c>
      <c r="L217" s="155">
        <v>21</v>
      </c>
      <c r="M217" s="155">
        <f>G217*(1+L217/100)</f>
        <v>0</v>
      </c>
      <c r="N217" s="154">
        <v>1.2E-4</v>
      </c>
      <c r="O217" s="154">
        <f>ROUND(E217*N217,2)</f>
        <v>0</v>
      </c>
      <c r="P217" s="154">
        <v>0</v>
      </c>
      <c r="Q217" s="154">
        <f>ROUND(E217*P217,2)</f>
        <v>0</v>
      </c>
      <c r="R217" s="155" t="s">
        <v>266</v>
      </c>
      <c r="S217" s="155" t="s">
        <v>999</v>
      </c>
      <c r="T217" s="155" t="s">
        <v>999</v>
      </c>
      <c r="U217" s="155">
        <v>0</v>
      </c>
      <c r="V217" s="155">
        <f>ROUND(E217*U217,2)</f>
        <v>0</v>
      </c>
      <c r="W217" s="155"/>
      <c r="X217" s="155" t="s">
        <v>261</v>
      </c>
      <c r="Y217" s="155" t="s">
        <v>147</v>
      </c>
      <c r="Z217" s="145"/>
      <c r="AA217" s="145"/>
      <c r="AB217" s="145"/>
      <c r="AC217" s="145"/>
      <c r="AD217" s="145"/>
      <c r="AE217" s="145"/>
      <c r="AF217" s="145"/>
      <c r="AG217" s="145" t="s">
        <v>262</v>
      </c>
      <c r="AH217" s="145"/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outlineLevel="2" x14ac:dyDescent="0.25">
      <c r="A218" s="152"/>
      <c r="B218" s="153"/>
      <c r="C218" s="187" t="s">
        <v>420</v>
      </c>
      <c r="D218" s="184"/>
      <c r="E218" s="185">
        <v>38.94</v>
      </c>
      <c r="F218" s="155"/>
      <c r="G218" s="155"/>
      <c r="H218" s="155"/>
      <c r="I218" s="155"/>
      <c r="J218" s="155"/>
      <c r="K218" s="155"/>
      <c r="L218" s="155"/>
      <c r="M218" s="155"/>
      <c r="N218" s="154"/>
      <c r="O218" s="154"/>
      <c r="P218" s="154"/>
      <c r="Q218" s="154"/>
      <c r="R218" s="155"/>
      <c r="S218" s="155"/>
      <c r="T218" s="155"/>
      <c r="U218" s="155"/>
      <c r="V218" s="155"/>
      <c r="W218" s="155"/>
      <c r="X218" s="155"/>
      <c r="Y218" s="155"/>
      <c r="Z218" s="145"/>
      <c r="AA218" s="145"/>
      <c r="AB218" s="145"/>
      <c r="AC218" s="145"/>
      <c r="AD218" s="145"/>
      <c r="AE218" s="145"/>
      <c r="AF218" s="145"/>
      <c r="AG218" s="145" t="s">
        <v>198</v>
      </c>
      <c r="AH218" s="145">
        <v>5</v>
      </c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45"/>
      <c r="BB218" s="145"/>
      <c r="BC218" s="145"/>
      <c r="BD218" s="145"/>
      <c r="BE218" s="145"/>
      <c r="BF218" s="145"/>
      <c r="BG218" s="145"/>
      <c r="BH218" s="145"/>
    </row>
    <row r="219" spans="1:60" outlineLevel="1" x14ac:dyDescent="0.25">
      <c r="A219" s="166">
        <v>88</v>
      </c>
      <c r="B219" s="167" t="s">
        <v>421</v>
      </c>
      <c r="C219" s="180" t="s">
        <v>422</v>
      </c>
      <c r="D219" s="168" t="s">
        <v>228</v>
      </c>
      <c r="E219" s="169">
        <v>0.48264000000000001</v>
      </c>
      <c r="F219" s="170"/>
      <c r="G219" s="171">
        <f>ROUND(E219*F219,2)</f>
        <v>0</v>
      </c>
      <c r="H219" s="156">
        <v>0</v>
      </c>
      <c r="I219" s="155">
        <f>ROUND(E219*H219,2)</f>
        <v>0</v>
      </c>
      <c r="J219" s="156">
        <v>1044</v>
      </c>
      <c r="K219" s="155">
        <f>ROUND(E219*J219,2)</f>
        <v>503.88</v>
      </c>
      <c r="L219" s="155">
        <v>21</v>
      </c>
      <c r="M219" s="155">
        <f>G219*(1+L219/100)</f>
        <v>0</v>
      </c>
      <c r="N219" s="154">
        <v>0</v>
      </c>
      <c r="O219" s="154">
        <f>ROUND(E219*N219,2)</f>
        <v>0</v>
      </c>
      <c r="P219" s="154">
        <v>0</v>
      </c>
      <c r="Q219" s="154">
        <f>ROUND(E219*P219,2)</f>
        <v>0</v>
      </c>
      <c r="R219" s="155"/>
      <c r="S219" s="155" t="s">
        <v>999</v>
      </c>
      <c r="T219" s="155" t="s">
        <v>999</v>
      </c>
      <c r="U219" s="155">
        <v>1.74</v>
      </c>
      <c r="V219" s="155">
        <f>ROUND(E219*U219,2)</f>
        <v>0.84</v>
      </c>
      <c r="W219" s="155"/>
      <c r="X219" s="155" t="s">
        <v>146</v>
      </c>
      <c r="Y219" s="155" t="s">
        <v>147</v>
      </c>
      <c r="Z219" s="145"/>
      <c r="AA219" s="145"/>
      <c r="AB219" s="145"/>
      <c r="AC219" s="145"/>
      <c r="AD219" s="145"/>
      <c r="AE219" s="145"/>
      <c r="AF219" s="145"/>
      <c r="AG219" s="145" t="s">
        <v>148</v>
      </c>
      <c r="AH219" s="145"/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outlineLevel="3" x14ac:dyDescent="0.25">
      <c r="A220" s="152"/>
      <c r="B220" s="153"/>
      <c r="C220" s="187" t="s">
        <v>423</v>
      </c>
      <c r="D220" s="184"/>
      <c r="E220" s="185">
        <v>0.47797000000000001</v>
      </c>
      <c r="F220" s="155"/>
      <c r="G220" s="155"/>
      <c r="H220" s="155"/>
      <c r="I220" s="155"/>
      <c r="J220" s="155"/>
      <c r="K220" s="155"/>
      <c r="L220" s="155"/>
      <c r="M220" s="155"/>
      <c r="N220" s="154"/>
      <c r="O220" s="154"/>
      <c r="P220" s="154"/>
      <c r="Q220" s="154"/>
      <c r="R220" s="155"/>
      <c r="S220" s="155"/>
      <c r="T220" s="155"/>
      <c r="U220" s="155"/>
      <c r="V220" s="155"/>
      <c r="W220" s="155"/>
      <c r="X220" s="155"/>
      <c r="Y220" s="155"/>
      <c r="Z220" s="145"/>
      <c r="AA220" s="145"/>
      <c r="AB220" s="145"/>
      <c r="AC220" s="145"/>
      <c r="AD220" s="145"/>
      <c r="AE220" s="145"/>
      <c r="AF220" s="145"/>
      <c r="AG220" s="145" t="s">
        <v>198</v>
      </c>
      <c r="AH220" s="145">
        <v>6</v>
      </c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outlineLevel="3" x14ac:dyDescent="0.25">
      <c r="A221" s="152"/>
      <c r="B221" s="153"/>
      <c r="C221" s="187" t="s">
        <v>424</v>
      </c>
      <c r="D221" s="184"/>
      <c r="E221" s="185">
        <v>4.6699999999999997E-3</v>
      </c>
      <c r="F221" s="155"/>
      <c r="G221" s="155"/>
      <c r="H221" s="155"/>
      <c r="I221" s="155"/>
      <c r="J221" s="155"/>
      <c r="K221" s="155"/>
      <c r="L221" s="155"/>
      <c r="M221" s="155"/>
      <c r="N221" s="154"/>
      <c r="O221" s="154"/>
      <c r="P221" s="154"/>
      <c r="Q221" s="154"/>
      <c r="R221" s="155"/>
      <c r="S221" s="155"/>
      <c r="T221" s="155"/>
      <c r="U221" s="155"/>
      <c r="V221" s="155"/>
      <c r="W221" s="155"/>
      <c r="X221" s="155"/>
      <c r="Y221" s="155"/>
      <c r="Z221" s="145"/>
      <c r="AA221" s="145"/>
      <c r="AB221" s="145"/>
      <c r="AC221" s="145"/>
      <c r="AD221" s="145"/>
      <c r="AE221" s="145"/>
      <c r="AF221" s="145"/>
      <c r="AG221" s="145" t="s">
        <v>198</v>
      </c>
      <c r="AH221" s="145">
        <v>6</v>
      </c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  <c r="BA221" s="145"/>
      <c r="BB221" s="145"/>
      <c r="BC221" s="145"/>
      <c r="BD221" s="145"/>
      <c r="BE221" s="145"/>
      <c r="BF221" s="145"/>
      <c r="BG221" s="145"/>
      <c r="BH221" s="145"/>
    </row>
    <row r="222" spans="1:60" x14ac:dyDescent="0.25">
      <c r="A222" s="159" t="s">
        <v>139</v>
      </c>
      <c r="B222" s="160" t="s">
        <v>91</v>
      </c>
      <c r="C222" s="178" t="s">
        <v>92</v>
      </c>
      <c r="D222" s="161"/>
      <c r="E222" s="162"/>
      <c r="F222" s="163"/>
      <c r="G222" s="164">
        <f>SUMIF(AG223:AG227,"&lt;&gt;NOR",G223:G227)</f>
        <v>0</v>
      </c>
      <c r="H222" s="158"/>
      <c r="I222" s="158">
        <f>SUM(I223:I227)</f>
        <v>34119.57</v>
      </c>
      <c r="J222" s="158"/>
      <c r="K222" s="158">
        <f>SUM(K223:K227)</f>
        <v>36285.4</v>
      </c>
      <c r="L222" s="158"/>
      <c r="M222" s="158">
        <f>SUM(M223:M227)</f>
        <v>0</v>
      </c>
      <c r="N222" s="157"/>
      <c r="O222" s="157">
        <f>SUM(O223:O227)</f>
        <v>1.5699999999999998</v>
      </c>
      <c r="P222" s="157"/>
      <c r="Q222" s="157">
        <f>SUM(Q223:Q227)</f>
        <v>0</v>
      </c>
      <c r="R222" s="158"/>
      <c r="S222" s="158"/>
      <c r="T222" s="158"/>
      <c r="U222" s="158"/>
      <c r="V222" s="158">
        <f>SUM(V223:V227)</f>
        <v>42.470000000000006</v>
      </c>
      <c r="W222" s="158"/>
      <c r="X222" s="158"/>
      <c r="Y222" s="158"/>
      <c r="AG222" t="s">
        <v>140</v>
      </c>
    </row>
    <row r="223" spans="1:60" ht="20.399999999999999" outlineLevel="1" x14ac:dyDescent="0.25">
      <c r="A223" s="172">
        <v>89</v>
      </c>
      <c r="B223" s="173" t="s">
        <v>425</v>
      </c>
      <c r="C223" s="179" t="s">
        <v>426</v>
      </c>
      <c r="D223" s="174" t="s">
        <v>197</v>
      </c>
      <c r="E223" s="175">
        <v>95.03</v>
      </c>
      <c r="F223" s="176"/>
      <c r="G223" s="177">
        <f>ROUND(E223*F223,2)</f>
        <v>0</v>
      </c>
      <c r="H223" s="156">
        <v>359.04</v>
      </c>
      <c r="I223" s="155">
        <f>ROUND(E223*H223,2)</f>
        <v>34119.57</v>
      </c>
      <c r="J223" s="156">
        <v>110.46</v>
      </c>
      <c r="K223" s="155">
        <f>ROUND(E223*J223,2)</f>
        <v>10497.01</v>
      </c>
      <c r="L223" s="155">
        <v>21</v>
      </c>
      <c r="M223" s="155">
        <f>G223*(1+L223/100)</f>
        <v>0</v>
      </c>
      <c r="N223" s="154">
        <v>9.8600000000000007E-3</v>
      </c>
      <c r="O223" s="154">
        <f>ROUND(E223*N223,2)</f>
        <v>0.94</v>
      </c>
      <c r="P223" s="154">
        <v>0</v>
      </c>
      <c r="Q223" s="154">
        <f>ROUND(E223*P223,2)</f>
        <v>0</v>
      </c>
      <c r="R223" s="155"/>
      <c r="S223" s="155" t="s">
        <v>999</v>
      </c>
      <c r="T223" s="155" t="s">
        <v>999</v>
      </c>
      <c r="U223" s="155">
        <v>0.21</v>
      </c>
      <c r="V223" s="155">
        <f>ROUND(E223*U223,2)</f>
        <v>19.96</v>
      </c>
      <c r="W223" s="155"/>
      <c r="X223" s="155" t="s">
        <v>146</v>
      </c>
      <c r="Y223" s="155" t="s">
        <v>147</v>
      </c>
      <c r="Z223" s="145"/>
      <c r="AA223" s="145"/>
      <c r="AB223" s="145"/>
      <c r="AC223" s="145"/>
      <c r="AD223" s="145"/>
      <c r="AE223" s="145"/>
      <c r="AF223" s="145"/>
      <c r="AG223" s="145" t="s">
        <v>148</v>
      </c>
      <c r="AH223" s="145"/>
      <c r="AI223" s="145"/>
      <c r="AJ223" s="145"/>
      <c r="AK223" s="145"/>
      <c r="AL223" s="145"/>
      <c r="AM223" s="145"/>
      <c r="AN223" s="145"/>
      <c r="AO223" s="145"/>
      <c r="AP223" s="145"/>
      <c r="AQ223" s="145"/>
      <c r="AR223" s="145"/>
      <c r="AS223" s="145"/>
      <c r="AT223" s="145"/>
      <c r="AU223" s="145"/>
      <c r="AV223" s="145"/>
      <c r="AW223" s="145"/>
      <c r="AX223" s="145"/>
      <c r="AY223" s="145"/>
      <c r="AZ223" s="145"/>
      <c r="BA223" s="145"/>
      <c r="BB223" s="145"/>
      <c r="BC223" s="145"/>
      <c r="BD223" s="145"/>
      <c r="BE223" s="145"/>
      <c r="BF223" s="145"/>
      <c r="BG223" s="145"/>
      <c r="BH223" s="145"/>
    </row>
    <row r="224" spans="1:60" ht="20.399999999999999" outlineLevel="1" x14ac:dyDescent="0.25">
      <c r="A224" s="172">
        <v>90</v>
      </c>
      <c r="B224" s="173" t="s">
        <v>427</v>
      </c>
      <c r="C224" s="179" t="s">
        <v>428</v>
      </c>
      <c r="D224" s="174" t="s">
        <v>197</v>
      </c>
      <c r="E224" s="175">
        <v>95.03</v>
      </c>
      <c r="F224" s="176"/>
      <c r="G224" s="177">
        <f>ROUND(E224*F224,2)</f>
        <v>0</v>
      </c>
      <c r="H224" s="156">
        <v>0</v>
      </c>
      <c r="I224" s="155">
        <f>ROUND(E224*H224,2)</f>
        <v>0</v>
      </c>
      <c r="J224" s="156">
        <v>242.5</v>
      </c>
      <c r="K224" s="155">
        <f>ROUND(E224*J224,2)</f>
        <v>23044.78</v>
      </c>
      <c r="L224" s="155">
        <v>21</v>
      </c>
      <c r="M224" s="155">
        <f>G224*(1+L224/100)</f>
        <v>0</v>
      </c>
      <c r="N224" s="154">
        <v>6.6E-3</v>
      </c>
      <c r="O224" s="154">
        <f>ROUND(E224*N224,2)</f>
        <v>0.63</v>
      </c>
      <c r="P224" s="154">
        <v>0</v>
      </c>
      <c r="Q224" s="154">
        <f>ROUND(E224*P224,2)</f>
        <v>0</v>
      </c>
      <c r="R224" s="155"/>
      <c r="S224" s="155" t="s">
        <v>144</v>
      </c>
      <c r="T224" s="155" t="s">
        <v>999</v>
      </c>
      <c r="U224" s="155">
        <v>0.20799999999999999</v>
      </c>
      <c r="V224" s="155">
        <f>ROUND(E224*U224,2)</f>
        <v>19.77</v>
      </c>
      <c r="W224" s="155"/>
      <c r="X224" s="155" t="s">
        <v>146</v>
      </c>
      <c r="Y224" s="155" t="s">
        <v>147</v>
      </c>
      <c r="Z224" s="145"/>
      <c r="AA224" s="145"/>
      <c r="AB224" s="145"/>
      <c r="AC224" s="145"/>
      <c r="AD224" s="145"/>
      <c r="AE224" s="145"/>
      <c r="AF224" s="145"/>
      <c r="AG224" s="145" t="s">
        <v>148</v>
      </c>
      <c r="AH224" s="145"/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outlineLevel="1" x14ac:dyDescent="0.25">
      <c r="A225" s="166">
        <v>91</v>
      </c>
      <c r="B225" s="167" t="s">
        <v>429</v>
      </c>
      <c r="C225" s="180" t="s">
        <v>430</v>
      </c>
      <c r="D225" s="168" t="s">
        <v>228</v>
      </c>
      <c r="E225" s="169">
        <v>1.5642</v>
      </c>
      <c r="F225" s="170"/>
      <c r="G225" s="171">
        <f>ROUND(E225*F225,2)</f>
        <v>0</v>
      </c>
      <c r="H225" s="156">
        <v>0</v>
      </c>
      <c r="I225" s="155">
        <f>ROUND(E225*H225,2)</f>
        <v>0</v>
      </c>
      <c r="J225" s="156">
        <v>1754</v>
      </c>
      <c r="K225" s="155">
        <f>ROUND(E225*J225,2)</f>
        <v>2743.61</v>
      </c>
      <c r="L225" s="155">
        <v>21</v>
      </c>
      <c r="M225" s="155">
        <f>G225*(1+L225/100)</f>
        <v>0</v>
      </c>
      <c r="N225" s="154">
        <v>0</v>
      </c>
      <c r="O225" s="154">
        <f>ROUND(E225*N225,2)</f>
        <v>0</v>
      </c>
      <c r="P225" s="154">
        <v>0</v>
      </c>
      <c r="Q225" s="154">
        <f>ROUND(E225*P225,2)</f>
        <v>0</v>
      </c>
      <c r="R225" s="155"/>
      <c r="S225" s="155" t="s">
        <v>999</v>
      </c>
      <c r="T225" s="155" t="s">
        <v>999</v>
      </c>
      <c r="U225" s="155">
        <v>1.75</v>
      </c>
      <c r="V225" s="155">
        <f>ROUND(E225*U225,2)</f>
        <v>2.74</v>
      </c>
      <c r="W225" s="155"/>
      <c r="X225" s="155" t="s">
        <v>146</v>
      </c>
      <c r="Y225" s="155" t="s">
        <v>147</v>
      </c>
      <c r="Z225" s="145"/>
      <c r="AA225" s="145"/>
      <c r="AB225" s="145"/>
      <c r="AC225" s="145"/>
      <c r="AD225" s="145"/>
      <c r="AE225" s="145"/>
      <c r="AF225" s="145"/>
      <c r="AG225" s="145" t="s">
        <v>148</v>
      </c>
      <c r="AH225" s="145"/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outlineLevel="2" x14ac:dyDescent="0.25">
      <c r="A226" s="152"/>
      <c r="B226" s="153"/>
      <c r="C226" s="187" t="s">
        <v>431</v>
      </c>
      <c r="D226" s="184"/>
      <c r="E226" s="185">
        <v>0.93700000000000006</v>
      </c>
      <c r="F226" s="155"/>
      <c r="G226" s="155"/>
      <c r="H226" s="155"/>
      <c r="I226" s="155"/>
      <c r="J226" s="155"/>
      <c r="K226" s="155"/>
      <c r="L226" s="155"/>
      <c r="M226" s="155"/>
      <c r="N226" s="154"/>
      <c r="O226" s="154"/>
      <c r="P226" s="154"/>
      <c r="Q226" s="154"/>
      <c r="R226" s="155"/>
      <c r="S226" s="155"/>
      <c r="T226" s="155"/>
      <c r="U226" s="155"/>
      <c r="V226" s="155"/>
      <c r="W226" s="155"/>
      <c r="X226" s="155"/>
      <c r="Y226" s="155"/>
      <c r="Z226" s="145"/>
      <c r="AA226" s="145"/>
      <c r="AB226" s="145"/>
      <c r="AC226" s="145"/>
      <c r="AD226" s="145"/>
      <c r="AE226" s="145"/>
      <c r="AF226" s="145"/>
      <c r="AG226" s="145" t="s">
        <v>198</v>
      </c>
      <c r="AH226" s="145">
        <v>6</v>
      </c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45"/>
      <c r="BB226" s="145"/>
      <c r="BC226" s="145"/>
      <c r="BD226" s="145"/>
      <c r="BE226" s="145"/>
      <c r="BF226" s="145"/>
      <c r="BG226" s="145"/>
      <c r="BH226" s="145"/>
    </row>
    <row r="227" spans="1:60" outlineLevel="3" x14ac:dyDescent="0.25">
      <c r="A227" s="152"/>
      <c r="B227" s="153"/>
      <c r="C227" s="187" t="s">
        <v>432</v>
      </c>
      <c r="D227" s="184"/>
      <c r="E227" s="185">
        <v>0.62719999999999998</v>
      </c>
      <c r="F227" s="155"/>
      <c r="G227" s="155"/>
      <c r="H227" s="155"/>
      <c r="I227" s="155"/>
      <c r="J227" s="155"/>
      <c r="K227" s="155"/>
      <c r="L227" s="155"/>
      <c r="M227" s="155"/>
      <c r="N227" s="154"/>
      <c r="O227" s="154"/>
      <c r="P227" s="154"/>
      <c r="Q227" s="154"/>
      <c r="R227" s="155"/>
      <c r="S227" s="155"/>
      <c r="T227" s="155"/>
      <c r="U227" s="155"/>
      <c r="V227" s="155"/>
      <c r="W227" s="155"/>
      <c r="X227" s="155"/>
      <c r="Y227" s="155"/>
      <c r="Z227" s="145"/>
      <c r="AA227" s="145"/>
      <c r="AB227" s="145"/>
      <c r="AC227" s="145"/>
      <c r="AD227" s="145"/>
      <c r="AE227" s="145"/>
      <c r="AF227" s="145"/>
      <c r="AG227" s="145" t="s">
        <v>198</v>
      </c>
      <c r="AH227" s="145">
        <v>6</v>
      </c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x14ac:dyDescent="0.25">
      <c r="A228" s="159" t="s">
        <v>139</v>
      </c>
      <c r="B228" s="160" t="s">
        <v>93</v>
      </c>
      <c r="C228" s="178" t="s">
        <v>94</v>
      </c>
      <c r="D228" s="161"/>
      <c r="E228" s="162"/>
      <c r="F228" s="163"/>
      <c r="G228" s="164">
        <f>SUMIF(AG229:AG235,"&lt;&gt;NOR",G229:G235)</f>
        <v>0</v>
      </c>
      <c r="H228" s="158"/>
      <c r="I228" s="158">
        <f>SUM(I229:I235)</f>
        <v>2718.29</v>
      </c>
      <c r="J228" s="158"/>
      <c r="K228" s="158">
        <f>SUM(K229:K235)</f>
        <v>549619.51</v>
      </c>
      <c r="L228" s="158"/>
      <c r="M228" s="158">
        <f>SUM(M229:M235)</f>
        <v>0</v>
      </c>
      <c r="N228" s="157"/>
      <c r="O228" s="157">
        <f>SUM(O229:O235)</f>
        <v>4.9800000000000004</v>
      </c>
      <c r="P228" s="157"/>
      <c r="Q228" s="157">
        <f>SUM(Q229:Q235)</f>
        <v>0</v>
      </c>
      <c r="R228" s="158"/>
      <c r="S228" s="158"/>
      <c r="T228" s="158"/>
      <c r="U228" s="158"/>
      <c r="V228" s="158">
        <f>SUM(V229:V235)</f>
        <v>146.09</v>
      </c>
      <c r="W228" s="158"/>
      <c r="X228" s="158"/>
      <c r="Y228" s="158"/>
      <c r="AG228" t="s">
        <v>140</v>
      </c>
    </row>
    <row r="229" spans="1:60" outlineLevel="1" x14ac:dyDescent="0.25">
      <c r="A229" s="166">
        <v>92</v>
      </c>
      <c r="B229" s="167" t="s">
        <v>433</v>
      </c>
      <c r="C229" s="180" t="s">
        <v>434</v>
      </c>
      <c r="D229" s="168" t="s">
        <v>197</v>
      </c>
      <c r="E229" s="169">
        <v>89.95</v>
      </c>
      <c r="F229" s="170"/>
      <c r="G229" s="171">
        <f>ROUND(E229*F229,2)</f>
        <v>0</v>
      </c>
      <c r="H229" s="156">
        <v>30.22</v>
      </c>
      <c r="I229" s="155">
        <f>ROUND(E229*H229,2)</f>
        <v>2718.29</v>
      </c>
      <c r="J229" s="156">
        <v>1139.78</v>
      </c>
      <c r="K229" s="155">
        <f>ROUND(E229*J229,2)</f>
        <v>102523.21</v>
      </c>
      <c r="L229" s="155">
        <v>21</v>
      </c>
      <c r="M229" s="155">
        <f>G229*(1+L229/100)</f>
        <v>0</v>
      </c>
      <c r="N229" s="154">
        <v>3.1E-4</v>
      </c>
      <c r="O229" s="154">
        <f>ROUND(E229*N229,2)</f>
        <v>0.03</v>
      </c>
      <c r="P229" s="154">
        <v>0</v>
      </c>
      <c r="Q229" s="154">
        <f>ROUND(E229*P229,2)</f>
        <v>0</v>
      </c>
      <c r="R229" s="155"/>
      <c r="S229" s="155" t="s">
        <v>999</v>
      </c>
      <c r="T229" s="155" t="s">
        <v>999</v>
      </c>
      <c r="U229" s="155">
        <v>1.56</v>
      </c>
      <c r="V229" s="155">
        <f>ROUND(E229*U229,2)</f>
        <v>140.32</v>
      </c>
      <c r="W229" s="155"/>
      <c r="X229" s="155" t="s">
        <v>146</v>
      </c>
      <c r="Y229" s="155" t="s">
        <v>147</v>
      </c>
      <c r="Z229" s="145"/>
      <c r="AA229" s="145"/>
      <c r="AB229" s="145"/>
      <c r="AC229" s="145"/>
      <c r="AD229" s="145"/>
      <c r="AE229" s="145"/>
      <c r="AF229" s="145"/>
      <c r="AG229" s="145" t="s">
        <v>148</v>
      </c>
      <c r="AH229" s="145"/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  <c r="BA229" s="145"/>
      <c r="BB229" s="145"/>
      <c r="BC229" s="145"/>
      <c r="BD229" s="145"/>
      <c r="BE229" s="145"/>
      <c r="BF229" s="145"/>
      <c r="BG229" s="145"/>
      <c r="BH229" s="145"/>
    </row>
    <row r="230" spans="1:60" outlineLevel="2" x14ac:dyDescent="0.25">
      <c r="A230" s="152"/>
      <c r="B230" s="153"/>
      <c r="C230" s="187" t="s">
        <v>435</v>
      </c>
      <c r="D230" s="184"/>
      <c r="E230" s="185">
        <v>89.95</v>
      </c>
      <c r="F230" s="155"/>
      <c r="G230" s="155"/>
      <c r="H230" s="155"/>
      <c r="I230" s="155"/>
      <c r="J230" s="155"/>
      <c r="K230" s="155"/>
      <c r="L230" s="155"/>
      <c r="M230" s="155"/>
      <c r="N230" s="154"/>
      <c r="O230" s="154"/>
      <c r="P230" s="154"/>
      <c r="Q230" s="154"/>
      <c r="R230" s="155"/>
      <c r="S230" s="155"/>
      <c r="T230" s="155"/>
      <c r="U230" s="155"/>
      <c r="V230" s="155"/>
      <c r="W230" s="155"/>
      <c r="X230" s="155"/>
      <c r="Y230" s="155"/>
      <c r="Z230" s="145"/>
      <c r="AA230" s="145"/>
      <c r="AB230" s="145"/>
      <c r="AC230" s="145"/>
      <c r="AD230" s="145"/>
      <c r="AE230" s="145"/>
      <c r="AF230" s="145"/>
      <c r="AG230" s="145" t="s">
        <v>198</v>
      </c>
      <c r="AH230" s="145">
        <v>0</v>
      </c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outlineLevel="1" x14ac:dyDescent="0.25">
      <c r="A231" s="166">
        <v>93</v>
      </c>
      <c r="B231" s="167" t="s">
        <v>436</v>
      </c>
      <c r="C231" s="180" t="s">
        <v>437</v>
      </c>
      <c r="D231" s="168" t="s">
        <v>197</v>
      </c>
      <c r="E231" s="169">
        <v>98.944999999999993</v>
      </c>
      <c r="F231" s="170"/>
      <c r="G231" s="171">
        <f>ROUND(E231*F231,2)</f>
        <v>0</v>
      </c>
      <c r="H231" s="156">
        <v>0</v>
      </c>
      <c r="I231" s="155">
        <f>ROUND(E231*H231,2)</f>
        <v>0</v>
      </c>
      <c r="J231" s="156">
        <v>4450</v>
      </c>
      <c r="K231" s="155">
        <f>ROUND(E231*J231,2)</f>
        <v>440305.25</v>
      </c>
      <c r="L231" s="155">
        <v>21</v>
      </c>
      <c r="M231" s="155">
        <f>G231*(1+L231/100)</f>
        <v>0</v>
      </c>
      <c r="N231" s="154">
        <v>0.05</v>
      </c>
      <c r="O231" s="154">
        <f>ROUND(E231*N231,2)</f>
        <v>4.95</v>
      </c>
      <c r="P231" s="154">
        <v>0</v>
      </c>
      <c r="Q231" s="154">
        <f>ROUND(E231*P231,2)</f>
        <v>0</v>
      </c>
      <c r="R231" s="155"/>
      <c r="S231" s="155" t="s">
        <v>144</v>
      </c>
      <c r="T231" s="155" t="s">
        <v>145</v>
      </c>
      <c r="U231" s="155">
        <v>0</v>
      </c>
      <c r="V231" s="155">
        <f>ROUND(E231*U231,2)</f>
        <v>0</v>
      </c>
      <c r="W231" s="155"/>
      <c r="X231" s="155" t="s">
        <v>146</v>
      </c>
      <c r="Y231" s="155" t="s">
        <v>147</v>
      </c>
      <c r="Z231" s="145"/>
      <c r="AA231" s="145"/>
      <c r="AB231" s="145"/>
      <c r="AC231" s="145"/>
      <c r="AD231" s="145"/>
      <c r="AE231" s="145"/>
      <c r="AF231" s="145"/>
      <c r="AG231" s="145" t="s">
        <v>148</v>
      </c>
      <c r="AH231" s="145"/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  <c r="BA231" s="145"/>
      <c r="BB231" s="145"/>
      <c r="BC231" s="145"/>
      <c r="BD231" s="145"/>
      <c r="BE231" s="145"/>
      <c r="BF231" s="145"/>
      <c r="BG231" s="145"/>
      <c r="BH231" s="145"/>
    </row>
    <row r="232" spans="1:60" outlineLevel="2" x14ac:dyDescent="0.25">
      <c r="A232" s="152"/>
      <c r="B232" s="153"/>
      <c r="C232" s="187" t="s">
        <v>438</v>
      </c>
      <c r="D232" s="184"/>
      <c r="E232" s="185">
        <v>98.944999999999993</v>
      </c>
      <c r="F232" s="155"/>
      <c r="G232" s="155"/>
      <c r="H232" s="155"/>
      <c r="I232" s="155"/>
      <c r="J232" s="155"/>
      <c r="K232" s="155"/>
      <c r="L232" s="155"/>
      <c r="M232" s="155"/>
      <c r="N232" s="154"/>
      <c r="O232" s="154"/>
      <c r="P232" s="154"/>
      <c r="Q232" s="154"/>
      <c r="R232" s="155"/>
      <c r="S232" s="155"/>
      <c r="T232" s="155"/>
      <c r="U232" s="155"/>
      <c r="V232" s="155"/>
      <c r="W232" s="155"/>
      <c r="X232" s="155"/>
      <c r="Y232" s="155"/>
      <c r="Z232" s="145"/>
      <c r="AA232" s="145"/>
      <c r="AB232" s="145"/>
      <c r="AC232" s="145"/>
      <c r="AD232" s="145"/>
      <c r="AE232" s="145"/>
      <c r="AF232" s="145"/>
      <c r="AG232" s="145" t="s">
        <v>198</v>
      </c>
      <c r="AH232" s="145">
        <v>0</v>
      </c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  <c r="BA232" s="145"/>
      <c r="BB232" s="145"/>
      <c r="BC232" s="145"/>
      <c r="BD232" s="145"/>
      <c r="BE232" s="145"/>
      <c r="BF232" s="145"/>
      <c r="BG232" s="145"/>
      <c r="BH232" s="145"/>
    </row>
    <row r="233" spans="1:60" outlineLevel="1" x14ac:dyDescent="0.25">
      <c r="A233" s="166">
        <v>94</v>
      </c>
      <c r="B233" s="167" t="s">
        <v>439</v>
      </c>
      <c r="C233" s="180" t="s">
        <v>440</v>
      </c>
      <c r="D233" s="168" t="s">
        <v>228</v>
      </c>
      <c r="E233" s="169">
        <v>4.9751300000000001</v>
      </c>
      <c r="F233" s="170"/>
      <c r="G233" s="171">
        <f>ROUND(E233*F233,2)</f>
        <v>0</v>
      </c>
      <c r="H233" s="156">
        <v>0</v>
      </c>
      <c r="I233" s="155">
        <f>ROUND(E233*H233,2)</f>
        <v>0</v>
      </c>
      <c r="J233" s="156">
        <v>1365</v>
      </c>
      <c r="K233" s="155">
        <f>ROUND(E233*J233,2)</f>
        <v>6791.05</v>
      </c>
      <c r="L233" s="155">
        <v>21</v>
      </c>
      <c r="M233" s="155">
        <f>G233*(1+L233/100)</f>
        <v>0</v>
      </c>
      <c r="N233" s="154">
        <v>0</v>
      </c>
      <c r="O233" s="154">
        <f>ROUND(E233*N233,2)</f>
        <v>0</v>
      </c>
      <c r="P233" s="154">
        <v>0</v>
      </c>
      <c r="Q233" s="154">
        <f>ROUND(E233*P233,2)</f>
        <v>0</v>
      </c>
      <c r="R233" s="155"/>
      <c r="S233" s="155" t="s">
        <v>999</v>
      </c>
      <c r="T233" s="155" t="s">
        <v>999</v>
      </c>
      <c r="U233" s="155">
        <v>1.1599999999999999</v>
      </c>
      <c r="V233" s="155">
        <f>ROUND(E233*U233,2)</f>
        <v>5.77</v>
      </c>
      <c r="W233" s="155"/>
      <c r="X233" s="155" t="s">
        <v>146</v>
      </c>
      <c r="Y233" s="155" t="s">
        <v>147</v>
      </c>
      <c r="Z233" s="145"/>
      <c r="AA233" s="145"/>
      <c r="AB233" s="145"/>
      <c r="AC233" s="145"/>
      <c r="AD233" s="145"/>
      <c r="AE233" s="145"/>
      <c r="AF233" s="145"/>
      <c r="AG233" s="145" t="s">
        <v>148</v>
      </c>
      <c r="AH233" s="145"/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  <c r="BA233" s="145"/>
      <c r="BB233" s="145"/>
      <c r="BC233" s="145"/>
      <c r="BD233" s="145"/>
      <c r="BE233" s="145"/>
      <c r="BF233" s="145"/>
      <c r="BG233" s="145"/>
      <c r="BH233" s="145"/>
    </row>
    <row r="234" spans="1:60" outlineLevel="2" x14ac:dyDescent="0.25">
      <c r="A234" s="152"/>
      <c r="B234" s="153"/>
      <c r="C234" s="187" t="s">
        <v>441</v>
      </c>
      <c r="D234" s="184"/>
      <c r="E234" s="185">
        <v>2.7879999999999999E-2</v>
      </c>
      <c r="F234" s="155"/>
      <c r="G234" s="155"/>
      <c r="H234" s="155"/>
      <c r="I234" s="155"/>
      <c r="J234" s="155"/>
      <c r="K234" s="155"/>
      <c r="L234" s="155"/>
      <c r="M234" s="155"/>
      <c r="N234" s="154"/>
      <c r="O234" s="154"/>
      <c r="P234" s="154"/>
      <c r="Q234" s="154"/>
      <c r="R234" s="155"/>
      <c r="S234" s="155"/>
      <c r="T234" s="155"/>
      <c r="U234" s="155"/>
      <c r="V234" s="155"/>
      <c r="W234" s="155"/>
      <c r="X234" s="155"/>
      <c r="Y234" s="155"/>
      <c r="Z234" s="145"/>
      <c r="AA234" s="145"/>
      <c r="AB234" s="145"/>
      <c r="AC234" s="145"/>
      <c r="AD234" s="145"/>
      <c r="AE234" s="145"/>
      <c r="AF234" s="145"/>
      <c r="AG234" s="145" t="s">
        <v>198</v>
      </c>
      <c r="AH234" s="145">
        <v>6</v>
      </c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</row>
    <row r="235" spans="1:60" outlineLevel="3" x14ac:dyDescent="0.25">
      <c r="A235" s="152"/>
      <c r="B235" s="153"/>
      <c r="C235" s="187" t="s">
        <v>442</v>
      </c>
      <c r="D235" s="184"/>
      <c r="E235" s="185">
        <v>4.9472500000000004</v>
      </c>
      <c r="F235" s="155"/>
      <c r="G235" s="155"/>
      <c r="H235" s="155"/>
      <c r="I235" s="155"/>
      <c r="J235" s="155"/>
      <c r="K235" s="155"/>
      <c r="L235" s="155"/>
      <c r="M235" s="155"/>
      <c r="N235" s="154"/>
      <c r="O235" s="154"/>
      <c r="P235" s="154"/>
      <c r="Q235" s="154"/>
      <c r="R235" s="155"/>
      <c r="S235" s="155"/>
      <c r="T235" s="155"/>
      <c r="U235" s="155"/>
      <c r="V235" s="155"/>
      <c r="W235" s="155"/>
      <c r="X235" s="155"/>
      <c r="Y235" s="155"/>
      <c r="Z235" s="145"/>
      <c r="AA235" s="145"/>
      <c r="AB235" s="145"/>
      <c r="AC235" s="145"/>
      <c r="AD235" s="145"/>
      <c r="AE235" s="145"/>
      <c r="AF235" s="145"/>
      <c r="AG235" s="145" t="s">
        <v>198</v>
      </c>
      <c r="AH235" s="145">
        <v>6</v>
      </c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</row>
    <row r="236" spans="1:60" x14ac:dyDescent="0.25">
      <c r="A236" s="159" t="s">
        <v>139</v>
      </c>
      <c r="B236" s="160" t="s">
        <v>95</v>
      </c>
      <c r="C236" s="178" t="s">
        <v>96</v>
      </c>
      <c r="D236" s="161"/>
      <c r="E236" s="162"/>
      <c r="F236" s="163"/>
      <c r="G236" s="164">
        <f>SUMIF(AG237:AG249,"&lt;&gt;NOR",G237:G249)</f>
        <v>0</v>
      </c>
      <c r="H236" s="158"/>
      <c r="I236" s="158">
        <f>SUM(I237:I249)</f>
        <v>17015.39</v>
      </c>
      <c r="J236" s="158"/>
      <c r="K236" s="158">
        <f>SUM(K237:K249)</f>
        <v>8235.4600000000009</v>
      </c>
      <c r="L236" s="158"/>
      <c r="M236" s="158">
        <f>SUM(M237:M249)</f>
        <v>0</v>
      </c>
      <c r="N236" s="157"/>
      <c r="O236" s="157">
        <f>SUM(O237:O249)</f>
        <v>7.9999999999999988E-2</v>
      </c>
      <c r="P236" s="157"/>
      <c r="Q236" s="157">
        <f>SUM(Q237:Q249)</f>
        <v>0</v>
      </c>
      <c r="R236" s="158"/>
      <c r="S236" s="158"/>
      <c r="T236" s="158"/>
      <c r="U236" s="158"/>
      <c r="V236" s="158">
        <f>SUM(V237:V249)</f>
        <v>14.839999999999998</v>
      </c>
      <c r="W236" s="158"/>
      <c r="X236" s="158"/>
      <c r="Y236" s="158"/>
      <c r="AG236" t="s">
        <v>140</v>
      </c>
    </row>
    <row r="237" spans="1:60" ht="20.399999999999999" outlineLevel="1" x14ac:dyDescent="0.25">
      <c r="A237" s="166">
        <v>95</v>
      </c>
      <c r="B237" s="167" t="s">
        <v>443</v>
      </c>
      <c r="C237" s="180" t="s">
        <v>444</v>
      </c>
      <c r="D237" s="168" t="s">
        <v>192</v>
      </c>
      <c r="E237" s="169">
        <v>10.5</v>
      </c>
      <c r="F237" s="170"/>
      <c r="G237" s="171">
        <f>ROUND(E237*F237,2)</f>
        <v>0</v>
      </c>
      <c r="H237" s="156">
        <v>345.68</v>
      </c>
      <c r="I237" s="155">
        <f>ROUND(E237*H237,2)</f>
        <v>3629.64</v>
      </c>
      <c r="J237" s="156">
        <v>154.32</v>
      </c>
      <c r="K237" s="155">
        <f>ROUND(E237*J237,2)</f>
        <v>1620.36</v>
      </c>
      <c r="L237" s="155">
        <v>21</v>
      </c>
      <c r="M237" s="155">
        <f>G237*(1+L237/100)</f>
        <v>0</v>
      </c>
      <c r="N237" s="154">
        <v>4.0999999999999999E-4</v>
      </c>
      <c r="O237" s="154">
        <f>ROUND(E237*N237,2)</f>
        <v>0</v>
      </c>
      <c r="P237" s="154">
        <v>0</v>
      </c>
      <c r="Q237" s="154">
        <f>ROUND(E237*P237,2)</f>
        <v>0</v>
      </c>
      <c r="R237" s="155"/>
      <c r="S237" s="155" t="s">
        <v>999</v>
      </c>
      <c r="T237" s="155" t="s">
        <v>999</v>
      </c>
      <c r="U237" s="155">
        <v>0.26400000000000001</v>
      </c>
      <c r="V237" s="155">
        <f>ROUND(E237*U237,2)</f>
        <v>2.77</v>
      </c>
      <c r="W237" s="155"/>
      <c r="X237" s="155" t="s">
        <v>146</v>
      </c>
      <c r="Y237" s="155" t="s">
        <v>147</v>
      </c>
      <c r="Z237" s="145"/>
      <c r="AA237" s="145"/>
      <c r="AB237" s="145"/>
      <c r="AC237" s="145"/>
      <c r="AD237" s="145"/>
      <c r="AE237" s="145"/>
      <c r="AF237" s="145"/>
      <c r="AG237" s="145" t="s">
        <v>148</v>
      </c>
      <c r="AH237" s="145"/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45"/>
      <c r="BB237" s="145"/>
      <c r="BC237" s="145"/>
      <c r="BD237" s="145"/>
      <c r="BE237" s="145"/>
      <c r="BF237" s="145"/>
      <c r="BG237" s="145"/>
      <c r="BH237" s="145"/>
    </row>
    <row r="238" spans="1:60" outlineLevel="2" x14ac:dyDescent="0.25">
      <c r="A238" s="152"/>
      <c r="B238" s="153"/>
      <c r="C238" s="510" t="s">
        <v>445</v>
      </c>
      <c r="D238" s="511"/>
      <c r="E238" s="511"/>
      <c r="F238" s="511"/>
      <c r="G238" s="511"/>
      <c r="H238" s="155"/>
      <c r="I238" s="155"/>
      <c r="J238" s="155"/>
      <c r="K238" s="155"/>
      <c r="L238" s="155"/>
      <c r="M238" s="155"/>
      <c r="N238" s="154"/>
      <c r="O238" s="154"/>
      <c r="P238" s="154"/>
      <c r="Q238" s="154"/>
      <c r="R238" s="155"/>
      <c r="S238" s="155"/>
      <c r="T238" s="155"/>
      <c r="U238" s="155"/>
      <c r="V238" s="155"/>
      <c r="W238" s="155"/>
      <c r="X238" s="155"/>
      <c r="Y238" s="155"/>
      <c r="Z238" s="145"/>
      <c r="AA238" s="145"/>
      <c r="AB238" s="145"/>
      <c r="AC238" s="145"/>
      <c r="AD238" s="145"/>
      <c r="AE238" s="145"/>
      <c r="AF238" s="145"/>
      <c r="AG238" s="145" t="s">
        <v>225</v>
      </c>
      <c r="AH238" s="145"/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</row>
    <row r="239" spans="1:60" outlineLevel="1" x14ac:dyDescent="0.25">
      <c r="A239" s="166">
        <v>96</v>
      </c>
      <c r="B239" s="167" t="s">
        <v>446</v>
      </c>
      <c r="C239" s="180" t="s">
        <v>447</v>
      </c>
      <c r="D239" s="168" t="s">
        <v>192</v>
      </c>
      <c r="E239" s="169">
        <v>4</v>
      </c>
      <c r="F239" s="170"/>
      <c r="G239" s="171">
        <f>ROUND(E239*F239,2)</f>
        <v>0</v>
      </c>
      <c r="H239" s="156">
        <v>554.23</v>
      </c>
      <c r="I239" s="155">
        <f>ROUND(E239*H239,2)</f>
        <v>2216.92</v>
      </c>
      <c r="J239" s="156">
        <v>163.77000000000001</v>
      </c>
      <c r="K239" s="155">
        <f>ROUND(E239*J239,2)</f>
        <v>655.08000000000004</v>
      </c>
      <c r="L239" s="155">
        <v>21</v>
      </c>
      <c r="M239" s="155">
        <f>G239*(1+L239/100)</f>
        <v>0</v>
      </c>
      <c r="N239" s="154">
        <v>1.97E-3</v>
      </c>
      <c r="O239" s="154">
        <f>ROUND(E239*N239,2)</f>
        <v>0.01</v>
      </c>
      <c r="P239" s="154">
        <v>0</v>
      </c>
      <c r="Q239" s="154">
        <f>ROUND(E239*P239,2)</f>
        <v>0</v>
      </c>
      <c r="R239" s="155"/>
      <c r="S239" s="155" t="s">
        <v>999</v>
      </c>
      <c r="T239" s="155" t="s">
        <v>999</v>
      </c>
      <c r="U239" s="155">
        <v>0.29399999999999998</v>
      </c>
      <c r="V239" s="155">
        <f>ROUND(E239*U239,2)</f>
        <v>1.18</v>
      </c>
      <c r="W239" s="155"/>
      <c r="X239" s="155" t="s">
        <v>146</v>
      </c>
      <c r="Y239" s="155" t="s">
        <v>147</v>
      </c>
      <c r="Z239" s="145"/>
      <c r="AA239" s="145"/>
      <c r="AB239" s="145"/>
      <c r="AC239" s="145"/>
      <c r="AD239" s="145"/>
      <c r="AE239" s="145"/>
      <c r="AF239" s="145"/>
      <c r="AG239" s="145" t="s">
        <v>148</v>
      </c>
      <c r="AH239" s="145"/>
      <c r="AI239" s="145"/>
      <c r="AJ239" s="145"/>
      <c r="AK239" s="145"/>
      <c r="AL239" s="145"/>
      <c r="AM239" s="145"/>
      <c r="AN239" s="145"/>
      <c r="AO239" s="145"/>
      <c r="AP239" s="145"/>
      <c r="AQ239" s="145"/>
      <c r="AR239" s="145"/>
      <c r="AS239" s="145"/>
      <c r="AT239" s="145"/>
      <c r="AU239" s="145"/>
      <c r="AV239" s="145"/>
      <c r="AW239" s="145"/>
      <c r="AX239" s="145"/>
      <c r="AY239" s="145"/>
      <c r="AZ239" s="145"/>
      <c r="BA239" s="145"/>
      <c r="BB239" s="145"/>
      <c r="BC239" s="145"/>
      <c r="BD239" s="145"/>
      <c r="BE239" s="145"/>
      <c r="BF239" s="145"/>
      <c r="BG239" s="145"/>
      <c r="BH239" s="145"/>
    </row>
    <row r="240" spans="1:60" outlineLevel="2" x14ac:dyDescent="0.25">
      <c r="A240" s="152"/>
      <c r="B240" s="153"/>
      <c r="C240" s="510" t="s">
        <v>448</v>
      </c>
      <c r="D240" s="511"/>
      <c r="E240" s="511"/>
      <c r="F240" s="511"/>
      <c r="G240" s="511"/>
      <c r="H240" s="155"/>
      <c r="I240" s="155"/>
      <c r="J240" s="155"/>
      <c r="K240" s="155"/>
      <c r="L240" s="155"/>
      <c r="M240" s="155"/>
      <c r="N240" s="154"/>
      <c r="O240" s="154"/>
      <c r="P240" s="154"/>
      <c r="Q240" s="154"/>
      <c r="R240" s="155"/>
      <c r="S240" s="155"/>
      <c r="T240" s="155"/>
      <c r="U240" s="155"/>
      <c r="V240" s="155"/>
      <c r="W240" s="155"/>
      <c r="X240" s="155"/>
      <c r="Y240" s="155"/>
      <c r="Z240" s="145"/>
      <c r="AA240" s="145"/>
      <c r="AB240" s="145"/>
      <c r="AC240" s="145"/>
      <c r="AD240" s="145"/>
      <c r="AE240" s="145"/>
      <c r="AF240" s="145"/>
      <c r="AG240" s="145" t="s">
        <v>225</v>
      </c>
      <c r="AH240" s="145"/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</row>
    <row r="241" spans="1:60" ht="20.399999999999999" outlineLevel="1" x14ac:dyDescent="0.25">
      <c r="A241" s="166">
        <v>97</v>
      </c>
      <c r="B241" s="167" t="s">
        <v>449</v>
      </c>
      <c r="C241" s="180" t="s">
        <v>450</v>
      </c>
      <c r="D241" s="168" t="s">
        <v>192</v>
      </c>
      <c r="E241" s="169">
        <v>30</v>
      </c>
      <c r="F241" s="170"/>
      <c r="G241" s="171">
        <f>ROUND(E241*F241,2)</f>
        <v>0</v>
      </c>
      <c r="H241" s="156">
        <v>299.83</v>
      </c>
      <c r="I241" s="155">
        <f>ROUND(E241*H241,2)</f>
        <v>8994.9</v>
      </c>
      <c r="J241" s="156">
        <v>137.16999999999999</v>
      </c>
      <c r="K241" s="155">
        <f>ROUND(E241*J241,2)</f>
        <v>4115.1000000000004</v>
      </c>
      <c r="L241" s="155">
        <v>21</v>
      </c>
      <c r="M241" s="155">
        <f>G241*(1+L241/100)</f>
        <v>0</v>
      </c>
      <c r="N241" s="154">
        <v>1.8400000000000001E-3</v>
      </c>
      <c r="O241" s="154">
        <f>ROUND(E241*N241,2)</f>
        <v>0.06</v>
      </c>
      <c r="P241" s="154">
        <v>0</v>
      </c>
      <c r="Q241" s="154">
        <f>ROUND(E241*P241,2)</f>
        <v>0</v>
      </c>
      <c r="R241" s="155"/>
      <c r="S241" s="155" t="s">
        <v>999</v>
      </c>
      <c r="T241" s="155" t="s">
        <v>999</v>
      </c>
      <c r="U241" s="155">
        <v>0.25</v>
      </c>
      <c r="V241" s="155">
        <f>ROUND(E241*U241,2)</f>
        <v>7.5</v>
      </c>
      <c r="W241" s="155"/>
      <c r="X241" s="155" t="s">
        <v>146</v>
      </c>
      <c r="Y241" s="155" t="s">
        <v>147</v>
      </c>
      <c r="Z241" s="145"/>
      <c r="AA241" s="145"/>
      <c r="AB241" s="145"/>
      <c r="AC241" s="145"/>
      <c r="AD241" s="145"/>
      <c r="AE241" s="145"/>
      <c r="AF241" s="145"/>
      <c r="AG241" s="145" t="s">
        <v>148</v>
      </c>
      <c r="AH241" s="145"/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</row>
    <row r="242" spans="1:60" ht="20.399999999999999" outlineLevel="1" x14ac:dyDescent="0.25">
      <c r="A242" s="166">
        <v>98</v>
      </c>
      <c r="B242" s="167" t="s">
        <v>451</v>
      </c>
      <c r="C242" s="180" t="s">
        <v>452</v>
      </c>
      <c r="D242" s="168" t="s">
        <v>192</v>
      </c>
      <c r="E242" s="169">
        <v>10.5</v>
      </c>
      <c r="F242" s="170"/>
      <c r="G242" s="171">
        <f>ROUND(E242*F242,2)</f>
        <v>0</v>
      </c>
      <c r="H242" s="156">
        <v>188.33</v>
      </c>
      <c r="I242" s="155">
        <f>ROUND(E242*H242,2)</f>
        <v>1977.47</v>
      </c>
      <c r="J242" s="156">
        <v>137.16999999999999</v>
      </c>
      <c r="K242" s="155">
        <f>ROUND(E242*J242,2)</f>
        <v>1440.29</v>
      </c>
      <c r="L242" s="155">
        <v>21</v>
      </c>
      <c r="M242" s="155">
        <f>G242*(1+L242/100)</f>
        <v>0</v>
      </c>
      <c r="N242" s="154">
        <v>1.2099999999999999E-3</v>
      </c>
      <c r="O242" s="154">
        <f>ROUND(E242*N242,2)</f>
        <v>0.01</v>
      </c>
      <c r="P242" s="154">
        <v>0</v>
      </c>
      <c r="Q242" s="154">
        <f>ROUND(E242*P242,2)</f>
        <v>0</v>
      </c>
      <c r="R242" s="155"/>
      <c r="S242" s="155" t="s">
        <v>999</v>
      </c>
      <c r="T242" s="155" t="s">
        <v>999</v>
      </c>
      <c r="U242" s="155">
        <v>0.25</v>
      </c>
      <c r="V242" s="155">
        <f>ROUND(E242*U242,2)</f>
        <v>2.63</v>
      </c>
      <c r="W242" s="155"/>
      <c r="X242" s="155" t="s">
        <v>146</v>
      </c>
      <c r="Y242" s="155" t="s">
        <v>147</v>
      </c>
      <c r="Z242" s="145"/>
      <c r="AA242" s="145"/>
      <c r="AB242" s="145"/>
      <c r="AC242" s="145"/>
      <c r="AD242" s="145"/>
      <c r="AE242" s="145"/>
      <c r="AF242" s="145"/>
      <c r="AG242" s="145" t="s">
        <v>148</v>
      </c>
      <c r="AH242" s="145"/>
      <c r="AI242" s="145"/>
      <c r="AJ242" s="145"/>
      <c r="AK242" s="145"/>
      <c r="AL242" s="145"/>
      <c r="AM242" s="145"/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  <c r="BA242" s="145"/>
      <c r="BB242" s="145"/>
      <c r="BC242" s="145"/>
      <c r="BD242" s="145"/>
      <c r="BE242" s="145"/>
      <c r="BF242" s="145"/>
      <c r="BG242" s="145"/>
      <c r="BH242" s="145"/>
    </row>
    <row r="243" spans="1:60" ht="20.399999999999999" outlineLevel="1" x14ac:dyDescent="0.25">
      <c r="A243" s="172">
        <v>99</v>
      </c>
      <c r="B243" s="173" t="s">
        <v>453</v>
      </c>
      <c r="C243" s="179" t="s">
        <v>454</v>
      </c>
      <c r="D243" s="174" t="s">
        <v>192</v>
      </c>
      <c r="E243" s="175">
        <v>1</v>
      </c>
      <c r="F243" s="176"/>
      <c r="G243" s="177">
        <f>ROUND(E243*F243,2)</f>
        <v>0</v>
      </c>
      <c r="H243" s="156">
        <v>196.46</v>
      </c>
      <c r="I243" s="155">
        <f>ROUND(E243*H243,2)</f>
        <v>196.46</v>
      </c>
      <c r="J243" s="156">
        <v>225.04</v>
      </c>
      <c r="K243" s="155">
        <f>ROUND(E243*J243,2)</f>
        <v>225.04</v>
      </c>
      <c r="L243" s="155">
        <v>21</v>
      </c>
      <c r="M243" s="155">
        <f>G243*(1+L243/100)</f>
        <v>0</v>
      </c>
      <c r="N243" s="154">
        <v>1.73E-3</v>
      </c>
      <c r="O243" s="154">
        <f>ROUND(E243*N243,2)</f>
        <v>0</v>
      </c>
      <c r="P243" s="154">
        <v>0</v>
      </c>
      <c r="Q243" s="154">
        <f>ROUND(E243*P243,2)</f>
        <v>0</v>
      </c>
      <c r="R243" s="155"/>
      <c r="S243" s="155" t="s">
        <v>999</v>
      </c>
      <c r="T243" s="155" t="s">
        <v>999</v>
      </c>
      <c r="U243" s="155">
        <v>0.37</v>
      </c>
      <c r="V243" s="155">
        <f>ROUND(E243*U243,2)</f>
        <v>0.37</v>
      </c>
      <c r="W243" s="155"/>
      <c r="X243" s="155" t="s">
        <v>146</v>
      </c>
      <c r="Y243" s="155" t="s">
        <v>147</v>
      </c>
      <c r="Z243" s="145"/>
      <c r="AA243" s="145"/>
      <c r="AB243" s="145"/>
      <c r="AC243" s="145"/>
      <c r="AD243" s="145"/>
      <c r="AE243" s="145"/>
      <c r="AF243" s="145"/>
      <c r="AG243" s="145" t="s">
        <v>148</v>
      </c>
      <c r="AH243" s="145"/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</row>
    <row r="244" spans="1:60" outlineLevel="1" x14ac:dyDescent="0.25">
      <c r="A244" s="166">
        <v>100</v>
      </c>
      <c r="B244" s="167" t="s">
        <v>455</v>
      </c>
      <c r="C244" s="180" t="s">
        <v>456</v>
      </c>
      <c r="D244" s="168" t="s">
        <v>228</v>
      </c>
      <c r="E244" s="169">
        <v>8.1820000000000004E-2</v>
      </c>
      <c r="F244" s="170"/>
      <c r="G244" s="171">
        <f>ROUND(E244*F244,2)</f>
        <v>0</v>
      </c>
      <c r="H244" s="156">
        <v>0</v>
      </c>
      <c r="I244" s="155">
        <f>ROUND(E244*H244,2)</f>
        <v>0</v>
      </c>
      <c r="J244" s="156">
        <v>2195</v>
      </c>
      <c r="K244" s="155">
        <f>ROUND(E244*J244,2)</f>
        <v>179.59</v>
      </c>
      <c r="L244" s="155">
        <v>21</v>
      </c>
      <c r="M244" s="155">
        <f>G244*(1+L244/100)</f>
        <v>0</v>
      </c>
      <c r="N244" s="154">
        <v>0</v>
      </c>
      <c r="O244" s="154">
        <f>ROUND(E244*N244,2)</f>
        <v>0</v>
      </c>
      <c r="P244" s="154">
        <v>0</v>
      </c>
      <c r="Q244" s="154">
        <f>ROUND(E244*P244,2)</f>
        <v>0</v>
      </c>
      <c r="R244" s="155"/>
      <c r="S244" s="155" t="s">
        <v>999</v>
      </c>
      <c r="T244" s="155" t="s">
        <v>999</v>
      </c>
      <c r="U244" s="155">
        <v>4.74</v>
      </c>
      <c r="V244" s="155">
        <f>ROUND(E244*U244,2)</f>
        <v>0.39</v>
      </c>
      <c r="W244" s="155"/>
      <c r="X244" s="155" t="s">
        <v>146</v>
      </c>
      <c r="Y244" s="155" t="s">
        <v>147</v>
      </c>
      <c r="Z244" s="145"/>
      <c r="AA244" s="145"/>
      <c r="AB244" s="145"/>
      <c r="AC244" s="145"/>
      <c r="AD244" s="145"/>
      <c r="AE244" s="145"/>
      <c r="AF244" s="145"/>
      <c r="AG244" s="145" t="s">
        <v>148</v>
      </c>
      <c r="AH244" s="145"/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</row>
    <row r="245" spans="1:60" outlineLevel="2" x14ac:dyDescent="0.25">
      <c r="A245" s="152"/>
      <c r="B245" s="153"/>
      <c r="C245" s="187" t="s">
        <v>457</v>
      </c>
      <c r="D245" s="184"/>
      <c r="E245" s="185">
        <v>4.3099999999999996E-3</v>
      </c>
      <c r="F245" s="155"/>
      <c r="G245" s="155"/>
      <c r="H245" s="155"/>
      <c r="I245" s="155"/>
      <c r="J245" s="155"/>
      <c r="K245" s="155"/>
      <c r="L245" s="155"/>
      <c r="M245" s="155"/>
      <c r="N245" s="154"/>
      <c r="O245" s="154"/>
      <c r="P245" s="154"/>
      <c r="Q245" s="154"/>
      <c r="R245" s="155"/>
      <c r="S245" s="155"/>
      <c r="T245" s="155"/>
      <c r="U245" s="155"/>
      <c r="V245" s="155"/>
      <c r="W245" s="155"/>
      <c r="X245" s="155"/>
      <c r="Y245" s="155"/>
      <c r="Z245" s="145"/>
      <c r="AA245" s="145"/>
      <c r="AB245" s="145"/>
      <c r="AC245" s="145"/>
      <c r="AD245" s="145"/>
      <c r="AE245" s="145"/>
      <c r="AF245" s="145"/>
      <c r="AG245" s="145" t="s">
        <v>198</v>
      </c>
      <c r="AH245" s="145">
        <v>6</v>
      </c>
      <c r="AI245" s="145"/>
      <c r="AJ245" s="145"/>
      <c r="AK245" s="145"/>
      <c r="AL245" s="145"/>
      <c r="AM245" s="145"/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  <c r="BA245" s="145"/>
      <c r="BB245" s="145"/>
      <c r="BC245" s="145"/>
      <c r="BD245" s="145"/>
      <c r="BE245" s="145"/>
      <c r="BF245" s="145"/>
      <c r="BG245" s="145"/>
      <c r="BH245" s="145"/>
    </row>
    <row r="246" spans="1:60" outlineLevel="3" x14ac:dyDescent="0.25">
      <c r="A246" s="152"/>
      <c r="B246" s="153"/>
      <c r="C246" s="187" t="s">
        <v>458</v>
      </c>
      <c r="D246" s="184"/>
      <c r="E246" s="185">
        <v>7.8799999999999999E-3</v>
      </c>
      <c r="F246" s="155"/>
      <c r="G246" s="155"/>
      <c r="H246" s="155"/>
      <c r="I246" s="155"/>
      <c r="J246" s="155"/>
      <c r="K246" s="155"/>
      <c r="L246" s="155"/>
      <c r="M246" s="155"/>
      <c r="N246" s="154"/>
      <c r="O246" s="154"/>
      <c r="P246" s="154"/>
      <c r="Q246" s="154"/>
      <c r="R246" s="155"/>
      <c r="S246" s="155"/>
      <c r="T246" s="155"/>
      <c r="U246" s="155"/>
      <c r="V246" s="155"/>
      <c r="W246" s="155"/>
      <c r="X246" s="155"/>
      <c r="Y246" s="155"/>
      <c r="Z246" s="145"/>
      <c r="AA246" s="145"/>
      <c r="AB246" s="145"/>
      <c r="AC246" s="145"/>
      <c r="AD246" s="145"/>
      <c r="AE246" s="145"/>
      <c r="AF246" s="145"/>
      <c r="AG246" s="145" t="s">
        <v>198</v>
      </c>
      <c r="AH246" s="145">
        <v>6</v>
      </c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45"/>
      <c r="BB246" s="145"/>
      <c r="BC246" s="145"/>
      <c r="BD246" s="145"/>
      <c r="BE246" s="145"/>
      <c r="BF246" s="145"/>
      <c r="BG246" s="145"/>
      <c r="BH246" s="145"/>
    </row>
    <row r="247" spans="1:60" outlineLevel="3" x14ac:dyDescent="0.25">
      <c r="A247" s="152"/>
      <c r="B247" s="153"/>
      <c r="C247" s="187" t="s">
        <v>459</v>
      </c>
      <c r="D247" s="184"/>
      <c r="E247" s="185">
        <v>5.5199999999999999E-2</v>
      </c>
      <c r="F247" s="155"/>
      <c r="G247" s="155"/>
      <c r="H247" s="155"/>
      <c r="I247" s="155"/>
      <c r="J247" s="155"/>
      <c r="K247" s="155"/>
      <c r="L247" s="155"/>
      <c r="M247" s="155"/>
      <c r="N247" s="154"/>
      <c r="O247" s="154"/>
      <c r="P247" s="154"/>
      <c r="Q247" s="154"/>
      <c r="R247" s="155"/>
      <c r="S247" s="155"/>
      <c r="T247" s="155"/>
      <c r="U247" s="155"/>
      <c r="V247" s="155"/>
      <c r="W247" s="155"/>
      <c r="X247" s="155"/>
      <c r="Y247" s="155"/>
      <c r="Z247" s="145"/>
      <c r="AA247" s="145"/>
      <c r="AB247" s="145"/>
      <c r="AC247" s="145"/>
      <c r="AD247" s="145"/>
      <c r="AE247" s="145"/>
      <c r="AF247" s="145"/>
      <c r="AG247" s="145" t="s">
        <v>198</v>
      </c>
      <c r="AH247" s="145">
        <v>6</v>
      </c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</row>
    <row r="248" spans="1:60" outlineLevel="3" x14ac:dyDescent="0.25">
      <c r="A248" s="152"/>
      <c r="B248" s="153"/>
      <c r="C248" s="187" t="s">
        <v>460</v>
      </c>
      <c r="D248" s="184"/>
      <c r="E248" s="185">
        <v>1.2710000000000001E-2</v>
      </c>
      <c r="F248" s="155"/>
      <c r="G248" s="155"/>
      <c r="H248" s="155"/>
      <c r="I248" s="155"/>
      <c r="J248" s="155"/>
      <c r="K248" s="155"/>
      <c r="L248" s="155"/>
      <c r="M248" s="155"/>
      <c r="N248" s="154"/>
      <c r="O248" s="154"/>
      <c r="P248" s="154"/>
      <c r="Q248" s="154"/>
      <c r="R248" s="155"/>
      <c r="S248" s="155"/>
      <c r="T248" s="155"/>
      <c r="U248" s="155"/>
      <c r="V248" s="155"/>
      <c r="W248" s="155"/>
      <c r="X248" s="155"/>
      <c r="Y248" s="155"/>
      <c r="Z248" s="145"/>
      <c r="AA248" s="145"/>
      <c r="AB248" s="145"/>
      <c r="AC248" s="145"/>
      <c r="AD248" s="145"/>
      <c r="AE248" s="145"/>
      <c r="AF248" s="145"/>
      <c r="AG248" s="145" t="s">
        <v>198</v>
      </c>
      <c r="AH248" s="145">
        <v>6</v>
      </c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</row>
    <row r="249" spans="1:60" outlineLevel="3" x14ac:dyDescent="0.25">
      <c r="A249" s="152"/>
      <c r="B249" s="153"/>
      <c r="C249" s="187" t="s">
        <v>461</v>
      </c>
      <c r="D249" s="184"/>
      <c r="E249" s="185">
        <v>1.73E-3</v>
      </c>
      <c r="F249" s="155"/>
      <c r="G249" s="155"/>
      <c r="H249" s="155"/>
      <c r="I249" s="155"/>
      <c r="J249" s="155"/>
      <c r="K249" s="155"/>
      <c r="L249" s="155"/>
      <c r="M249" s="155"/>
      <c r="N249" s="154"/>
      <c r="O249" s="154"/>
      <c r="P249" s="154"/>
      <c r="Q249" s="154"/>
      <c r="R249" s="155"/>
      <c r="S249" s="155"/>
      <c r="T249" s="155"/>
      <c r="U249" s="155"/>
      <c r="V249" s="155"/>
      <c r="W249" s="155"/>
      <c r="X249" s="155"/>
      <c r="Y249" s="155"/>
      <c r="Z249" s="145"/>
      <c r="AA249" s="145"/>
      <c r="AB249" s="145"/>
      <c r="AC249" s="145"/>
      <c r="AD249" s="145"/>
      <c r="AE249" s="145"/>
      <c r="AF249" s="145"/>
      <c r="AG249" s="145" t="s">
        <v>198</v>
      </c>
      <c r="AH249" s="145">
        <v>6</v>
      </c>
      <c r="AI249" s="145"/>
      <c r="AJ249" s="145"/>
      <c r="AK249" s="145"/>
      <c r="AL249" s="145"/>
      <c r="AM249" s="145"/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  <c r="BA249" s="145"/>
      <c r="BB249" s="145"/>
      <c r="BC249" s="145"/>
      <c r="BD249" s="145"/>
      <c r="BE249" s="145"/>
      <c r="BF249" s="145"/>
      <c r="BG249" s="145"/>
      <c r="BH249" s="145"/>
    </row>
    <row r="250" spans="1:60" x14ac:dyDescent="0.25">
      <c r="A250" s="159" t="s">
        <v>139</v>
      </c>
      <c r="B250" s="160" t="s">
        <v>97</v>
      </c>
      <c r="C250" s="178" t="s">
        <v>98</v>
      </c>
      <c r="D250" s="161"/>
      <c r="E250" s="162"/>
      <c r="F250" s="163"/>
      <c r="G250" s="164">
        <f>SUMIF(AG251:AG291,"&lt;&gt;NOR",G251:G291)</f>
        <v>0</v>
      </c>
      <c r="H250" s="158"/>
      <c r="I250" s="158">
        <f>SUM(I251:I291)</f>
        <v>170888.49999999997</v>
      </c>
      <c r="J250" s="158"/>
      <c r="K250" s="158">
        <f>SUM(K251:K291)</f>
        <v>79447.08</v>
      </c>
      <c r="L250" s="158"/>
      <c r="M250" s="158">
        <f>SUM(M251:M291)</f>
        <v>0</v>
      </c>
      <c r="N250" s="157"/>
      <c r="O250" s="157">
        <f>SUM(O251:O291)</f>
        <v>0.22</v>
      </c>
      <c r="P250" s="157"/>
      <c r="Q250" s="157">
        <f>SUM(Q251:Q291)</f>
        <v>0</v>
      </c>
      <c r="R250" s="158"/>
      <c r="S250" s="158"/>
      <c r="T250" s="158"/>
      <c r="U250" s="158"/>
      <c r="V250" s="158">
        <f>SUM(V251:V291)</f>
        <v>46.89</v>
      </c>
      <c r="W250" s="158"/>
      <c r="X250" s="158"/>
      <c r="Y250" s="158"/>
      <c r="AG250" t="s">
        <v>140</v>
      </c>
    </row>
    <row r="251" spans="1:60" outlineLevel="1" x14ac:dyDescent="0.25">
      <c r="A251" s="166">
        <v>101</v>
      </c>
      <c r="B251" s="167" t="s">
        <v>462</v>
      </c>
      <c r="C251" s="180" t="s">
        <v>463</v>
      </c>
      <c r="D251" s="168" t="s">
        <v>197</v>
      </c>
      <c r="E251" s="169">
        <v>3.26</v>
      </c>
      <c r="F251" s="170"/>
      <c r="G251" s="171">
        <f>ROUND(E251*F251,2)</f>
        <v>0</v>
      </c>
      <c r="H251" s="156">
        <v>8.93</v>
      </c>
      <c r="I251" s="155">
        <f>ROUND(E251*H251,2)</f>
        <v>29.11</v>
      </c>
      <c r="J251" s="156">
        <v>485.57</v>
      </c>
      <c r="K251" s="155">
        <f>ROUND(E251*J251,2)</f>
        <v>1582.96</v>
      </c>
      <c r="L251" s="155">
        <v>21</v>
      </c>
      <c r="M251" s="155">
        <f>G251*(1+L251/100)</f>
        <v>0</v>
      </c>
      <c r="N251" s="154">
        <v>2.0000000000000001E-4</v>
      </c>
      <c r="O251" s="154">
        <f>ROUND(E251*N251,2)</f>
        <v>0</v>
      </c>
      <c r="P251" s="154">
        <v>0</v>
      </c>
      <c r="Q251" s="154">
        <f>ROUND(E251*P251,2)</f>
        <v>0</v>
      </c>
      <c r="R251" s="155"/>
      <c r="S251" s="155" t="s">
        <v>999</v>
      </c>
      <c r="T251" s="155" t="s">
        <v>999</v>
      </c>
      <c r="U251" s="155">
        <v>0.89</v>
      </c>
      <c r="V251" s="155">
        <f>ROUND(E251*U251,2)</f>
        <v>2.9</v>
      </c>
      <c r="W251" s="155"/>
      <c r="X251" s="155" t="s">
        <v>146</v>
      </c>
      <c r="Y251" s="155" t="s">
        <v>147</v>
      </c>
      <c r="Z251" s="145"/>
      <c r="AA251" s="145"/>
      <c r="AB251" s="145"/>
      <c r="AC251" s="145"/>
      <c r="AD251" s="145"/>
      <c r="AE251" s="145"/>
      <c r="AF251" s="145"/>
      <c r="AG251" s="145" t="s">
        <v>148</v>
      </c>
      <c r="AH251" s="145"/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45"/>
      <c r="BB251" s="145"/>
      <c r="BC251" s="145"/>
      <c r="BD251" s="145"/>
      <c r="BE251" s="145"/>
      <c r="BF251" s="145"/>
      <c r="BG251" s="145"/>
      <c r="BH251" s="145"/>
    </row>
    <row r="252" spans="1:60" outlineLevel="1" x14ac:dyDescent="0.25">
      <c r="A252" s="172">
        <v>102</v>
      </c>
      <c r="B252" s="173" t="s">
        <v>464</v>
      </c>
      <c r="C252" s="179" t="s">
        <v>465</v>
      </c>
      <c r="D252" s="174" t="s">
        <v>197</v>
      </c>
      <c r="E252" s="175">
        <v>3.6</v>
      </c>
      <c r="F252" s="176"/>
      <c r="G252" s="177">
        <f>ROUND(E252*F252,2)</f>
        <v>0</v>
      </c>
      <c r="H252" s="156">
        <v>429</v>
      </c>
      <c r="I252" s="155">
        <f>ROUND(E252*H252,2)</f>
        <v>1544.4</v>
      </c>
      <c r="J252" s="156">
        <v>0</v>
      </c>
      <c r="K252" s="155">
        <f>ROUND(E252*J252,2)</f>
        <v>0</v>
      </c>
      <c r="L252" s="155">
        <v>21</v>
      </c>
      <c r="M252" s="155">
        <f>G252*(1+L252/100)</f>
        <v>0</v>
      </c>
      <c r="N252" s="154">
        <v>1.2200000000000001E-2</v>
      </c>
      <c r="O252" s="154">
        <f>ROUND(E252*N252,2)</f>
        <v>0.04</v>
      </c>
      <c r="P252" s="154">
        <v>0</v>
      </c>
      <c r="Q252" s="154">
        <f>ROUND(E252*P252,2)</f>
        <v>0</v>
      </c>
      <c r="R252" s="155"/>
      <c r="S252" s="155" t="s">
        <v>144</v>
      </c>
      <c r="T252" s="155" t="s">
        <v>145</v>
      </c>
      <c r="U252" s="155">
        <v>0</v>
      </c>
      <c r="V252" s="155">
        <f>ROUND(E252*U252,2)</f>
        <v>0</v>
      </c>
      <c r="W252" s="155"/>
      <c r="X252" s="155" t="s">
        <v>261</v>
      </c>
      <c r="Y252" s="155" t="s">
        <v>147</v>
      </c>
      <c r="Z252" s="145"/>
      <c r="AA252" s="145"/>
      <c r="AB252" s="145"/>
      <c r="AC252" s="145"/>
      <c r="AD252" s="145"/>
      <c r="AE252" s="145"/>
      <c r="AF252" s="145"/>
      <c r="AG252" s="145" t="s">
        <v>262</v>
      </c>
      <c r="AH252" s="145"/>
      <c r="AI252" s="145"/>
      <c r="AJ252" s="145"/>
      <c r="AK252" s="145"/>
      <c r="AL252" s="145"/>
      <c r="AM252" s="145"/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  <c r="BA252" s="145"/>
      <c r="BB252" s="145"/>
      <c r="BC252" s="145"/>
      <c r="BD252" s="145"/>
      <c r="BE252" s="145"/>
      <c r="BF252" s="145"/>
      <c r="BG252" s="145"/>
      <c r="BH252" s="145"/>
    </row>
    <row r="253" spans="1:60" outlineLevel="1" x14ac:dyDescent="0.25">
      <c r="A253" s="166">
        <v>103</v>
      </c>
      <c r="B253" s="167" t="s">
        <v>466</v>
      </c>
      <c r="C253" s="180" t="s">
        <v>467</v>
      </c>
      <c r="D253" s="168" t="s">
        <v>197</v>
      </c>
      <c r="E253" s="169">
        <v>3.26</v>
      </c>
      <c r="F253" s="170"/>
      <c r="G253" s="171">
        <f>ROUND(E253*F253,2)</f>
        <v>0</v>
      </c>
      <c r="H253" s="156">
        <v>7.66</v>
      </c>
      <c r="I253" s="155">
        <f>ROUND(E253*H253,2)</f>
        <v>24.97</v>
      </c>
      <c r="J253" s="156">
        <v>289.33999999999997</v>
      </c>
      <c r="K253" s="155">
        <f>ROUND(E253*J253,2)</f>
        <v>943.25</v>
      </c>
      <c r="L253" s="155">
        <v>21</v>
      </c>
      <c r="M253" s="155">
        <f>G253*(1+L253/100)</f>
        <v>0</v>
      </c>
      <c r="N253" s="154">
        <v>1.8000000000000001E-4</v>
      </c>
      <c r="O253" s="154">
        <f>ROUND(E253*N253,2)</f>
        <v>0</v>
      </c>
      <c r="P253" s="154">
        <v>0</v>
      </c>
      <c r="Q253" s="154">
        <f>ROUND(E253*P253,2)</f>
        <v>0</v>
      </c>
      <c r="R253" s="155"/>
      <c r="S253" s="155" t="s">
        <v>999</v>
      </c>
      <c r="T253" s="155" t="s">
        <v>999</v>
      </c>
      <c r="U253" s="155">
        <v>0.53</v>
      </c>
      <c r="V253" s="155">
        <f>ROUND(E253*U253,2)</f>
        <v>1.73</v>
      </c>
      <c r="W253" s="155"/>
      <c r="X253" s="155" t="s">
        <v>146</v>
      </c>
      <c r="Y253" s="155" t="s">
        <v>147</v>
      </c>
      <c r="Z253" s="145"/>
      <c r="AA253" s="145"/>
      <c r="AB253" s="145"/>
      <c r="AC253" s="145"/>
      <c r="AD253" s="145"/>
      <c r="AE253" s="145"/>
      <c r="AF253" s="145"/>
      <c r="AG253" s="145" t="s">
        <v>148</v>
      </c>
      <c r="AH253" s="145"/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</row>
    <row r="254" spans="1:60" outlineLevel="1" x14ac:dyDescent="0.25">
      <c r="A254" s="172">
        <v>104</v>
      </c>
      <c r="B254" s="173" t="s">
        <v>468</v>
      </c>
      <c r="C254" s="179" t="s">
        <v>469</v>
      </c>
      <c r="D254" s="174" t="s">
        <v>197</v>
      </c>
      <c r="E254" s="175">
        <v>3.6</v>
      </c>
      <c r="F254" s="176"/>
      <c r="G254" s="177">
        <f>ROUND(E254*F254,2)</f>
        <v>0</v>
      </c>
      <c r="H254" s="156">
        <v>1100</v>
      </c>
      <c r="I254" s="155">
        <f>ROUND(E254*H254,2)</f>
        <v>3960</v>
      </c>
      <c r="J254" s="156">
        <v>0</v>
      </c>
      <c r="K254" s="155">
        <f>ROUND(E254*J254,2)</f>
        <v>0</v>
      </c>
      <c r="L254" s="155">
        <v>21</v>
      </c>
      <c r="M254" s="155">
        <f>G254*(1+L254/100)</f>
        <v>0</v>
      </c>
      <c r="N254" s="154">
        <v>1.26E-2</v>
      </c>
      <c r="O254" s="154">
        <f>ROUND(E254*N254,2)</f>
        <v>0.05</v>
      </c>
      <c r="P254" s="154">
        <v>0</v>
      </c>
      <c r="Q254" s="154">
        <f>ROUND(E254*P254,2)</f>
        <v>0</v>
      </c>
      <c r="R254" s="155" t="s">
        <v>266</v>
      </c>
      <c r="S254" s="155" t="s">
        <v>999</v>
      </c>
      <c r="T254" s="155" t="s">
        <v>999</v>
      </c>
      <c r="U254" s="155">
        <v>0</v>
      </c>
      <c r="V254" s="155">
        <f>ROUND(E254*U254,2)</f>
        <v>0</v>
      </c>
      <c r="W254" s="155"/>
      <c r="X254" s="155" t="s">
        <v>261</v>
      </c>
      <c r="Y254" s="155" t="s">
        <v>147</v>
      </c>
      <c r="Z254" s="145"/>
      <c r="AA254" s="145"/>
      <c r="AB254" s="145"/>
      <c r="AC254" s="145"/>
      <c r="AD254" s="145"/>
      <c r="AE254" s="145"/>
      <c r="AF254" s="145"/>
      <c r="AG254" s="145" t="s">
        <v>262</v>
      </c>
      <c r="AH254" s="145"/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</row>
    <row r="255" spans="1:60" ht="20.399999999999999" outlineLevel="1" x14ac:dyDescent="0.25">
      <c r="A255" s="166">
        <v>105</v>
      </c>
      <c r="B255" s="167" t="s">
        <v>470</v>
      </c>
      <c r="C255" s="180" t="s">
        <v>471</v>
      </c>
      <c r="D255" s="168" t="s">
        <v>192</v>
      </c>
      <c r="E255" s="169">
        <v>16.2</v>
      </c>
      <c r="F255" s="170"/>
      <c r="G255" s="171">
        <f>ROUND(E255*F255,2)</f>
        <v>0</v>
      </c>
      <c r="H255" s="156">
        <v>11.02</v>
      </c>
      <c r="I255" s="155">
        <f>ROUND(E255*H255,2)</f>
        <v>178.52</v>
      </c>
      <c r="J255" s="156">
        <v>89.48</v>
      </c>
      <c r="K255" s="155">
        <f>ROUND(E255*J255,2)</f>
        <v>1449.58</v>
      </c>
      <c r="L255" s="155">
        <v>21</v>
      </c>
      <c r="M255" s="155">
        <f>G255*(1+L255/100)</f>
        <v>0</v>
      </c>
      <c r="N255" s="154">
        <v>1.8000000000000001E-4</v>
      </c>
      <c r="O255" s="154">
        <f>ROUND(E255*N255,2)</f>
        <v>0</v>
      </c>
      <c r="P255" s="154">
        <v>0</v>
      </c>
      <c r="Q255" s="154">
        <f>ROUND(E255*P255,2)</f>
        <v>0</v>
      </c>
      <c r="R255" s="155"/>
      <c r="S255" s="155" t="s">
        <v>999</v>
      </c>
      <c r="T255" s="155" t="s">
        <v>999</v>
      </c>
      <c r="U255" s="155">
        <v>0.17</v>
      </c>
      <c r="V255" s="155">
        <f>ROUND(E255*U255,2)</f>
        <v>2.75</v>
      </c>
      <c r="W255" s="155"/>
      <c r="X255" s="155" t="s">
        <v>146</v>
      </c>
      <c r="Y255" s="155" t="s">
        <v>147</v>
      </c>
      <c r="Z255" s="145"/>
      <c r="AA255" s="145"/>
      <c r="AB255" s="145"/>
      <c r="AC255" s="145"/>
      <c r="AD255" s="145"/>
      <c r="AE255" s="145"/>
      <c r="AF255" s="145"/>
      <c r="AG255" s="145" t="s">
        <v>148</v>
      </c>
      <c r="AH255" s="145"/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</row>
    <row r="256" spans="1:60" outlineLevel="2" x14ac:dyDescent="0.25">
      <c r="A256" s="152"/>
      <c r="B256" s="153"/>
      <c r="C256" s="187" t="s">
        <v>472</v>
      </c>
      <c r="D256" s="184"/>
      <c r="E256" s="185">
        <v>16.2</v>
      </c>
      <c r="F256" s="155"/>
      <c r="G256" s="155"/>
      <c r="H256" s="155"/>
      <c r="I256" s="155"/>
      <c r="J256" s="155"/>
      <c r="K256" s="155"/>
      <c r="L256" s="155"/>
      <c r="M256" s="155"/>
      <c r="N256" s="154"/>
      <c r="O256" s="154"/>
      <c r="P256" s="154"/>
      <c r="Q256" s="154"/>
      <c r="R256" s="155"/>
      <c r="S256" s="155"/>
      <c r="T256" s="155"/>
      <c r="U256" s="155"/>
      <c r="V256" s="155"/>
      <c r="W256" s="155"/>
      <c r="X256" s="155"/>
      <c r="Y256" s="155"/>
      <c r="Z256" s="145"/>
      <c r="AA256" s="145"/>
      <c r="AB256" s="145"/>
      <c r="AC256" s="145"/>
      <c r="AD256" s="145"/>
      <c r="AE256" s="145"/>
      <c r="AF256" s="145"/>
      <c r="AG256" s="145" t="s">
        <v>198</v>
      </c>
      <c r="AH256" s="145">
        <v>0</v>
      </c>
      <c r="AI256" s="145"/>
      <c r="AJ256" s="145"/>
      <c r="AK256" s="145"/>
      <c r="AL256" s="145"/>
      <c r="AM256" s="145"/>
      <c r="AN256" s="145"/>
      <c r="AO256" s="145"/>
      <c r="AP256" s="145"/>
      <c r="AQ256" s="145"/>
      <c r="AR256" s="145"/>
      <c r="AS256" s="145"/>
      <c r="AT256" s="145"/>
      <c r="AU256" s="145"/>
      <c r="AV256" s="145"/>
      <c r="AW256" s="145"/>
      <c r="AX256" s="145"/>
      <c r="AY256" s="145"/>
      <c r="AZ256" s="145"/>
      <c r="BA256" s="145"/>
      <c r="BB256" s="145"/>
      <c r="BC256" s="145"/>
      <c r="BD256" s="145"/>
      <c r="BE256" s="145"/>
      <c r="BF256" s="145"/>
      <c r="BG256" s="145"/>
      <c r="BH256" s="145"/>
    </row>
    <row r="257" spans="1:60" outlineLevel="1" x14ac:dyDescent="0.25">
      <c r="A257" s="166">
        <v>106</v>
      </c>
      <c r="B257" s="167" t="s">
        <v>473</v>
      </c>
      <c r="C257" s="180" t="s">
        <v>474</v>
      </c>
      <c r="D257" s="168" t="s">
        <v>192</v>
      </c>
      <c r="E257" s="169">
        <v>30.86</v>
      </c>
      <c r="F257" s="170"/>
      <c r="G257" s="171">
        <f>ROUND(E257*F257,2)</f>
        <v>0</v>
      </c>
      <c r="H257" s="156">
        <v>25.42</v>
      </c>
      <c r="I257" s="155">
        <f>ROUND(E257*H257,2)</f>
        <v>784.46</v>
      </c>
      <c r="J257" s="156">
        <v>266.58</v>
      </c>
      <c r="K257" s="155">
        <f>ROUND(E257*J257,2)</f>
        <v>8226.66</v>
      </c>
      <c r="L257" s="155">
        <v>21</v>
      </c>
      <c r="M257" s="155">
        <f>G257*(1+L257/100)</f>
        <v>0</v>
      </c>
      <c r="N257" s="154">
        <v>2.0000000000000002E-5</v>
      </c>
      <c r="O257" s="154">
        <f>ROUND(E257*N257,2)</f>
        <v>0</v>
      </c>
      <c r="P257" s="154">
        <v>0</v>
      </c>
      <c r="Q257" s="154">
        <f>ROUND(E257*P257,2)</f>
        <v>0</v>
      </c>
      <c r="R257" s="155"/>
      <c r="S257" s="155" t="s">
        <v>999</v>
      </c>
      <c r="T257" s="155" t="s">
        <v>999</v>
      </c>
      <c r="U257" s="155">
        <v>0.47</v>
      </c>
      <c r="V257" s="155">
        <f>ROUND(E257*U257,2)</f>
        <v>14.5</v>
      </c>
      <c r="W257" s="155"/>
      <c r="X257" s="155" t="s">
        <v>146</v>
      </c>
      <c r="Y257" s="155" t="s">
        <v>147</v>
      </c>
      <c r="Z257" s="145"/>
      <c r="AA257" s="145"/>
      <c r="AB257" s="145"/>
      <c r="AC257" s="145"/>
      <c r="AD257" s="145"/>
      <c r="AE257" s="145"/>
      <c r="AF257" s="145"/>
      <c r="AG257" s="145" t="s">
        <v>148</v>
      </c>
      <c r="AH257" s="145"/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</row>
    <row r="258" spans="1:60" outlineLevel="2" x14ac:dyDescent="0.25">
      <c r="A258" s="152"/>
      <c r="B258" s="153"/>
      <c r="C258" s="510" t="s">
        <v>475</v>
      </c>
      <c r="D258" s="511"/>
      <c r="E258" s="511"/>
      <c r="F258" s="511"/>
      <c r="G258" s="511"/>
      <c r="H258" s="155"/>
      <c r="I258" s="155"/>
      <c r="J258" s="155"/>
      <c r="K258" s="155"/>
      <c r="L258" s="155"/>
      <c r="M258" s="155"/>
      <c r="N258" s="154"/>
      <c r="O258" s="154"/>
      <c r="P258" s="154"/>
      <c r="Q258" s="154"/>
      <c r="R258" s="155"/>
      <c r="S258" s="155"/>
      <c r="T258" s="155"/>
      <c r="U258" s="155"/>
      <c r="V258" s="155"/>
      <c r="W258" s="155"/>
      <c r="X258" s="155"/>
      <c r="Y258" s="155"/>
      <c r="Z258" s="145"/>
      <c r="AA258" s="145"/>
      <c r="AB258" s="145"/>
      <c r="AC258" s="145"/>
      <c r="AD258" s="145"/>
      <c r="AE258" s="145"/>
      <c r="AF258" s="145"/>
      <c r="AG258" s="145" t="s">
        <v>225</v>
      </c>
      <c r="AH258" s="145"/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</row>
    <row r="259" spans="1:60" outlineLevel="2" x14ac:dyDescent="0.25">
      <c r="A259" s="152"/>
      <c r="B259" s="153"/>
      <c r="C259" s="187" t="s">
        <v>476</v>
      </c>
      <c r="D259" s="184"/>
      <c r="E259" s="185">
        <v>20.46</v>
      </c>
      <c r="F259" s="155"/>
      <c r="G259" s="155"/>
      <c r="H259" s="155"/>
      <c r="I259" s="155"/>
      <c r="J259" s="155"/>
      <c r="K259" s="155"/>
      <c r="L259" s="155"/>
      <c r="M259" s="155"/>
      <c r="N259" s="154"/>
      <c r="O259" s="154"/>
      <c r="P259" s="154"/>
      <c r="Q259" s="154"/>
      <c r="R259" s="155"/>
      <c r="S259" s="155"/>
      <c r="T259" s="155"/>
      <c r="U259" s="155"/>
      <c r="V259" s="155"/>
      <c r="W259" s="155"/>
      <c r="X259" s="155"/>
      <c r="Y259" s="155"/>
      <c r="Z259" s="145"/>
      <c r="AA259" s="145"/>
      <c r="AB259" s="145"/>
      <c r="AC259" s="145"/>
      <c r="AD259" s="145"/>
      <c r="AE259" s="145"/>
      <c r="AF259" s="145"/>
      <c r="AG259" s="145" t="s">
        <v>198</v>
      </c>
      <c r="AH259" s="145">
        <v>0</v>
      </c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</row>
    <row r="260" spans="1:60" outlineLevel="3" x14ac:dyDescent="0.25">
      <c r="A260" s="152"/>
      <c r="B260" s="153"/>
      <c r="C260" s="187" t="s">
        <v>477</v>
      </c>
      <c r="D260" s="184"/>
      <c r="E260" s="185">
        <v>3</v>
      </c>
      <c r="F260" s="155"/>
      <c r="G260" s="155"/>
      <c r="H260" s="155"/>
      <c r="I260" s="155"/>
      <c r="J260" s="155"/>
      <c r="K260" s="155"/>
      <c r="L260" s="155"/>
      <c r="M260" s="155"/>
      <c r="N260" s="154"/>
      <c r="O260" s="154"/>
      <c r="P260" s="154"/>
      <c r="Q260" s="154"/>
      <c r="R260" s="155"/>
      <c r="S260" s="155"/>
      <c r="T260" s="155"/>
      <c r="U260" s="155"/>
      <c r="V260" s="155"/>
      <c r="W260" s="155"/>
      <c r="X260" s="155"/>
      <c r="Y260" s="155"/>
      <c r="Z260" s="145"/>
      <c r="AA260" s="145"/>
      <c r="AB260" s="145"/>
      <c r="AC260" s="145"/>
      <c r="AD260" s="145"/>
      <c r="AE260" s="145"/>
      <c r="AF260" s="145"/>
      <c r="AG260" s="145" t="s">
        <v>198</v>
      </c>
      <c r="AH260" s="145">
        <v>0</v>
      </c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</row>
    <row r="261" spans="1:60" outlineLevel="3" x14ac:dyDescent="0.25">
      <c r="A261" s="152"/>
      <c r="B261" s="153"/>
      <c r="C261" s="187" t="s">
        <v>478</v>
      </c>
      <c r="D261" s="184"/>
      <c r="E261" s="185">
        <v>7.4</v>
      </c>
      <c r="F261" s="155"/>
      <c r="G261" s="155"/>
      <c r="H261" s="155"/>
      <c r="I261" s="155"/>
      <c r="J261" s="155"/>
      <c r="K261" s="155"/>
      <c r="L261" s="155"/>
      <c r="M261" s="155"/>
      <c r="N261" s="154"/>
      <c r="O261" s="154"/>
      <c r="P261" s="154"/>
      <c r="Q261" s="154"/>
      <c r="R261" s="155"/>
      <c r="S261" s="155"/>
      <c r="T261" s="155"/>
      <c r="U261" s="155"/>
      <c r="V261" s="155"/>
      <c r="W261" s="155"/>
      <c r="X261" s="155"/>
      <c r="Y261" s="155"/>
      <c r="Z261" s="145"/>
      <c r="AA261" s="145"/>
      <c r="AB261" s="145"/>
      <c r="AC261" s="145"/>
      <c r="AD261" s="145"/>
      <c r="AE261" s="145"/>
      <c r="AF261" s="145"/>
      <c r="AG261" s="145" t="s">
        <v>198</v>
      </c>
      <c r="AH261" s="145">
        <v>0</v>
      </c>
      <c r="AI261" s="145"/>
      <c r="AJ261" s="145"/>
      <c r="AK261" s="145"/>
      <c r="AL261" s="145"/>
      <c r="AM261" s="145"/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  <c r="BA261" s="145"/>
      <c r="BB261" s="145"/>
      <c r="BC261" s="145"/>
      <c r="BD261" s="145"/>
      <c r="BE261" s="145"/>
      <c r="BF261" s="145"/>
      <c r="BG261" s="145"/>
      <c r="BH261" s="145"/>
    </row>
    <row r="262" spans="1:60" ht="30.6" outlineLevel="1" x14ac:dyDescent="0.25">
      <c r="A262" s="172">
        <v>107</v>
      </c>
      <c r="B262" s="173" t="s">
        <v>479</v>
      </c>
      <c r="C262" s="179" t="s">
        <v>480</v>
      </c>
      <c r="D262" s="174" t="s">
        <v>161</v>
      </c>
      <c r="E262" s="175">
        <v>1</v>
      </c>
      <c r="F262" s="176"/>
      <c r="G262" s="177">
        <f>ROUND(E262*F262,2)</f>
        <v>0</v>
      </c>
      <c r="H262" s="156">
        <v>20074</v>
      </c>
      <c r="I262" s="155">
        <f>ROUND(E262*H262,2)</f>
        <v>20074</v>
      </c>
      <c r="J262" s="156">
        <v>0</v>
      </c>
      <c r="K262" s="155">
        <f>ROUND(E262*J262,2)</f>
        <v>0</v>
      </c>
      <c r="L262" s="155">
        <v>21</v>
      </c>
      <c r="M262" s="155">
        <f>G262*(1+L262/100)</f>
        <v>0</v>
      </c>
      <c r="N262" s="154">
        <v>4.36E-2</v>
      </c>
      <c r="O262" s="154">
        <f>ROUND(E262*N262,2)</f>
        <v>0.04</v>
      </c>
      <c r="P262" s="154">
        <v>0</v>
      </c>
      <c r="Q262" s="154">
        <f>ROUND(E262*P262,2)</f>
        <v>0</v>
      </c>
      <c r="R262" s="155"/>
      <c r="S262" s="155" t="s">
        <v>144</v>
      </c>
      <c r="T262" s="155" t="s">
        <v>145</v>
      </c>
      <c r="U262" s="155">
        <v>0</v>
      </c>
      <c r="V262" s="155">
        <f>ROUND(E262*U262,2)</f>
        <v>0</v>
      </c>
      <c r="W262" s="155"/>
      <c r="X262" s="155" t="s">
        <v>261</v>
      </c>
      <c r="Y262" s="155" t="s">
        <v>147</v>
      </c>
      <c r="Z262" s="145"/>
      <c r="AA262" s="145"/>
      <c r="AB262" s="145"/>
      <c r="AC262" s="145"/>
      <c r="AD262" s="145"/>
      <c r="AE262" s="145"/>
      <c r="AF262" s="145"/>
      <c r="AG262" s="145" t="s">
        <v>262</v>
      </c>
      <c r="AH262" s="145"/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</row>
    <row r="263" spans="1:60" ht="30.6" outlineLevel="1" x14ac:dyDescent="0.25">
      <c r="A263" s="172">
        <v>108</v>
      </c>
      <c r="B263" s="173" t="s">
        <v>481</v>
      </c>
      <c r="C263" s="179" t="s">
        <v>482</v>
      </c>
      <c r="D263" s="174" t="s">
        <v>161</v>
      </c>
      <c r="E263" s="175">
        <v>1</v>
      </c>
      <c r="F263" s="176"/>
      <c r="G263" s="177">
        <f>ROUND(E263*F263,2)</f>
        <v>0</v>
      </c>
      <c r="H263" s="156">
        <v>138000</v>
      </c>
      <c r="I263" s="155">
        <f>ROUND(E263*H263,2)</f>
        <v>138000</v>
      </c>
      <c r="J263" s="156">
        <v>0</v>
      </c>
      <c r="K263" s="155">
        <f>ROUND(E263*J263,2)</f>
        <v>0</v>
      </c>
      <c r="L263" s="155">
        <v>21</v>
      </c>
      <c r="M263" s="155">
        <f>G263*(1+L263/100)</f>
        <v>0</v>
      </c>
      <c r="N263" s="154">
        <v>3.6799999999999999E-2</v>
      </c>
      <c r="O263" s="154">
        <f>ROUND(E263*N263,2)</f>
        <v>0.04</v>
      </c>
      <c r="P263" s="154">
        <v>0</v>
      </c>
      <c r="Q263" s="154">
        <f>ROUND(E263*P263,2)</f>
        <v>0</v>
      </c>
      <c r="R263" s="155"/>
      <c r="S263" s="155" t="s">
        <v>144</v>
      </c>
      <c r="T263" s="155" t="s">
        <v>145</v>
      </c>
      <c r="U263" s="155">
        <v>0</v>
      </c>
      <c r="V263" s="155">
        <f>ROUND(E263*U263,2)</f>
        <v>0</v>
      </c>
      <c r="W263" s="155"/>
      <c r="X263" s="155" t="s">
        <v>261</v>
      </c>
      <c r="Y263" s="155" t="s">
        <v>147</v>
      </c>
      <c r="Z263" s="145"/>
      <c r="AA263" s="145"/>
      <c r="AB263" s="145"/>
      <c r="AC263" s="145"/>
      <c r="AD263" s="145"/>
      <c r="AE263" s="145"/>
      <c r="AF263" s="145"/>
      <c r="AG263" s="145" t="s">
        <v>262</v>
      </c>
      <c r="AH263" s="145"/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45"/>
      <c r="BB263" s="145"/>
      <c r="BC263" s="145"/>
      <c r="BD263" s="145"/>
      <c r="BE263" s="145"/>
      <c r="BF263" s="145"/>
      <c r="BG263" s="145"/>
      <c r="BH263" s="145"/>
    </row>
    <row r="264" spans="1:60" ht="30.6" outlineLevel="1" x14ac:dyDescent="0.25">
      <c r="A264" s="172">
        <v>109</v>
      </c>
      <c r="B264" s="173" t="s">
        <v>483</v>
      </c>
      <c r="C264" s="179" t="s">
        <v>484</v>
      </c>
      <c r="D264" s="174" t="s">
        <v>161</v>
      </c>
      <c r="E264" s="175">
        <v>1</v>
      </c>
      <c r="F264" s="176"/>
      <c r="G264" s="177">
        <f>ROUND(E264*F264,2)</f>
        <v>0</v>
      </c>
      <c r="H264" s="156">
        <v>0</v>
      </c>
      <c r="I264" s="155">
        <f>ROUND(E264*H264,2)</f>
        <v>0</v>
      </c>
      <c r="J264" s="156">
        <v>4560</v>
      </c>
      <c r="K264" s="155">
        <f>ROUND(E264*J264,2)</f>
        <v>4560</v>
      </c>
      <c r="L264" s="155">
        <v>21</v>
      </c>
      <c r="M264" s="155">
        <f>G264*(1+L264/100)</f>
        <v>0</v>
      </c>
      <c r="N264" s="154">
        <v>0</v>
      </c>
      <c r="O264" s="154">
        <f>ROUND(E264*N264,2)</f>
        <v>0</v>
      </c>
      <c r="P264" s="154">
        <v>0</v>
      </c>
      <c r="Q264" s="154">
        <f>ROUND(E264*P264,2)</f>
        <v>0</v>
      </c>
      <c r="R264" s="155"/>
      <c r="S264" s="155" t="s">
        <v>144</v>
      </c>
      <c r="T264" s="155" t="s">
        <v>145</v>
      </c>
      <c r="U264" s="155">
        <v>0</v>
      </c>
      <c r="V264" s="155">
        <f>ROUND(E264*U264,2)</f>
        <v>0</v>
      </c>
      <c r="W264" s="155"/>
      <c r="X264" s="155" t="s">
        <v>146</v>
      </c>
      <c r="Y264" s="155" t="s">
        <v>147</v>
      </c>
      <c r="Z264" s="145"/>
      <c r="AA264" s="145"/>
      <c r="AB264" s="145"/>
      <c r="AC264" s="145"/>
      <c r="AD264" s="145"/>
      <c r="AE264" s="145"/>
      <c r="AF264" s="145"/>
      <c r="AG264" s="145" t="s">
        <v>148</v>
      </c>
      <c r="AH264" s="145"/>
      <c r="AI264" s="145"/>
      <c r="AJ264" s="145"/>
      <c r="AK264" s="145"/>
      <c r="AL264" s="145"/>
      <c r="AM264" s="145"/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  <c r="BA264" s="145"/>
      <c r="BB264" s="145"/>
      <c r="BC264" s="145"/>
      <c r="BD264" s="145"/>
      <c r="BE264" s="145"/>
      <c r="BF264" s="145"/>
      <c r="BG264" s="145"/>
      <c r="BH264" s="145"/>
    </row>
    <row r="265" spans="1:60" outlineLevel="1" x14ac:dyDescent="0.25">
      <c r="A265" s="166">
        <v>110</v>
      </c>
      <c r="B265" s="167" t="s">
        <v>485</v>
      </c>
      <c r="C265" s="180" t="s">
        <v>486</v>
      </c>
      <c r="D265" s="168" t="s">
        <v>192</v>
      </c>
      <c r="E265" s="169">
        <v>9.65</v>
      </c>
      <c r="F265" s="170"/>
      <c r="G265" s="171">
        <f>ROUND(E265*F265,2)</f>
        <v>0</v>
      </c>
      <c r="H265" s="156">
        <v>156.44999999999999</v>
      </c>
      <c r="I265" s="155">
        <f>ROUND(E265*H265,2)</f>
        <v>1509.74</v>
      </c>
      <c r="J265" s="156">
        <v>43.55</v>
      </c>
      <c r="K265" s="155">
        <f>ROUND(E265*J265,2)</f>
        <v>420.26</v>
      </c>
      <c r="L265" s="155">
        <v>21</v>
      </c>
      <c r="M265" s="155">
        <f>G265*(1+L265/100)</f>
        <v>0</v>
      </c>
      <c r="N265" s="154">
        <v>1.34E-3</v>
      </c>
      <c r="O265" s="154">
        <f>ROUND(E265*N265,2)</f>
        <v>0.01</v>
      </c>
      <c r="P265" s="154">
        <v>0</v>
      </c>
      <c r="Q265" s="154">
        <f>ROUND(E265*P265,2)</f>
        <v>0</v>
      </c>
      <c r="R265" s="155"/>
      <c r="S265" s="155" t="s">
        <v>999</v>
      </c>
      <c r="T265" s="155" t="s">
        <v>999</v>
      </c>
      <c r="U265" s="155">
        <v>0.08</v>
      </c>
      <c r="V265" s="155">
        <f>ROUND(E265*U265,2)</f>
        <v>0.77</v>
      </c>
      <c r="W265" s="155"/>
      <c r="X265" s="155" t="s">
        <v>146</v>
      </c>
      <c r="Y265" s="155" t="s">
        <v>147</v>
      </c>
      <c r="Z265" s="145"/>
      <c r="AA265" s="145"/>
      <c r="AB265" s="145"/>
      <c r="AC265" s="145"/>
      <c r="AD265" s="145"/>
      <c r="AE265" s="145"/>
      <c r="AF265" s="145"/>
      <c r="AG265" s="145" t="s">
        <v>148</v>
      </c>
      <c r="AH265" s="145"/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</row>
    <row r="266" spans="1:60" outlineLevel="2" x14ac:dyDescent="0.25">
      <c r="A266" s="152"/>
      <c r="B266" s="153"/>
      <c r="C266" s="187" t="s">
        <v>487</v>
      </c>
      <c r="D266" s="184"/>
      <c r="E266" s="185">
        <v>7.65</v>
      </c>
      <c r="F266" s="155"/>
      <c r="G266" s="155"/>
      <c r="H266" s="155"/>
      <c r="I266" s="155"/>
      <c r="J266" s="155"/>
      <c r="K266" s="155"/>
      <c r="L266" s="155"/>
      <c r="M266" s="155"/>
      <c r="N266" s="154"/>
      <c r="O266" s="154"/>
      <c r="P266" s="154"/>
      <c r="Q266" s="154"/>
      <c r="R266" s="155"/>
      <c r="S266" s="155"/>
      <c r="T266" s="155"/>
      <c r="U266" s="155"/>
      <c r="V266" s="155"/>
      <c r="W266" s="155"/>
      <c r="X266" s="155"/>
      <c r="Y266" s="155"/>
      <c r="Z266" s="145"/>
      <c r="AA266" s="145"/>
      <c r="AB266" s="145"/>
      <c r="AC266" s="145"/>
      <c r="AD266" s="145"/>
      <c r="AE266" s="145"/>
      <c r="AF266" s="145"/>
      <c r="AG266" s="145" t="s">
        <v>198</v>
      </c>
      <c r="AH266" s="145">
        <v>0</v>
      </c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45"/>
      <c r="BB266" s="145"/>
      <c r="BC266" s="145"/>
      <c r="BD266" s="145"/>
      <c r="BE266" s="145"/>
      <c r="BF266" s="145"/>
      <c r="BG266" s="145"/>
      <c r="BH266" s="145"/>
    </row>
    <row r="267" spans="1:60" outlineLevel="3" x14ac:dyDescent="0.25">
      <c r="A267" s="152"/>
      <c r="B267" s="153"/>
      <c r="C267" s="187" t="s">
        <v>1018</v>
      </c>
      <c r="D267" s="184"/>
      <c r="E267" s="185">
        <v>2</v>
      </c>
      <c r="F267" s="155"/>
      <c r="G267" s="155"/>
      <c r="H267" s="155"/>
      <c r="I267" s="155"/>
      <c r="J267" s="155"/>
      <c r="K267" s="155"/>
      <c r="L267" s="155"/>
      <c r="M267" s="155"/>
      <c r="N267" s="154"/>
      <c r="O267" s="154"/>
      <c r="P267" s="154"/>
      <c r="Q267" s="154"/>
      <c r="R267" s="155"/>
      <c r="S267" s="155"/>
      <c r="T267" s="155"/>
      <c r="U267" s="155"/>
      <c r="V267" s="155"/>
      <c r="W267" s="155"/>
      <c r="X267" s="155"/>
      <c r="Y267" s="155"/>
      <c r="Z267" s="145"/>
      <c r="AA267" s="145"/>
      <c r="AB267" s="145"/>
      <c r="AC267" s="145"/>
      <c r="AD267" s="145"/>
      <c r="AE267" s="145"/>
      <c r="AF267" s="145"/>
      <c r="AG267" s="145" t="s">
        <v>198</v>
      </c>
      <c r="AH267" s="145">
        <v>0</v>
      </c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</row>
    <row r="268" spans="1:60" outlineLevel="1" x14ac:dyDescent="0.25">
      <c r="A268" s="166">
        <v>111</v>
      </c>
      <c r="B268" s="167" t="s">
        <v>488</v>
      </c>
      <c r="C268" s="180" t="s">
        <v>489</v>
      </c>
      <c r="D268" s="168" t="s">
        <v>192</v>
      </c>
      <c r="E268" s="169">
        <v>30.86</v>
      </c>
      <c r="F268" s="170"/>
      <c r="G268" s="171">
        <f>ROUND(E268*F268,2)</f>
        <v>0</v>
      </c>
      <c r="H268" s="156">
        <v>155</v>
      </c>
      <c r="I268" s="155">
        <f>ROUND(E268*H268,2)</f>
        <v>4783.3</v>
      </c>
      <c r="J268" s="156">
        <v>305</v>
      </c>
      <c r="K268" s="155">
        <f>ROUND(E268*J268,2)</f>
        <v>9412.2999999999993</v>
      </c>
      <c r="L268" s="155">
        <v>21</v>
      </c>
      <c r="M268" s="155">
        <f>G268*(1+L268/100)</f>
        <v>0</v>
      </c>
      <c r="N268" s="154">
        <v>1.2E-4</v>
      </c>
      <c r="O268" s="154">
        <f>ROUND(E268*N268,2)</f>
        <v>0</v>
      </c>
      <c r="P268" s="154">
        <v>0</v>
      </c>
      <c r="Q268" s="154">
        <f>ROUND(E268*P268,2)</f>
        <v>0</v>
      </c>
      <c r="R268" s="155"/>
      <c r="S268" s="155" t="s">
        <v>999</v>
      </c>
      <c r="T268" s="155" t="s">
        <v>999</v>
      </c>
      <c r="U268" s="155">
        <v>0.64</v>
      </c>
      <c r="V268" s="155">
        <f>ROUND(E268*U268,2)</f>
        <v>19.75</v>
      </c>
      <c r="W268" s="155"/>
      <c r="X268" s="155" t="s">
        <v>146</v>
      </c>
      <c r="Y268" s="155" t="s">
        <v>147</v>
      </c>
      <c r="Z268" s="145"/>
      <c r="AA268" s="145"/>
      <c r="AB268" s="145"/>
      <c r="AC268" s="145"/>
      <c r="AD268" s="145"/>
      <c r="AE268" s="145"/>
      <c r="AF268" s="145"/>
      <c r="AG268" s="145" t="s">
        <v>148</v>
      </c>
      <c r="AH268" s="145"/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</row>
    <row r="269" spans="1:60" ht="21" outlineLevel="2" x14ac:dyDescent="0.25">
      <c r="A269" s="152"/>
      <c r="B269" s="153"/>
      <c r="C269" s="510" t="s">
        <v>490</v>
      </c>
      <c r="D269" s="511"/>
      <c r="E269" s="511"/>
      <c r="F269" s="511"/>
      <c r="G269" s="511"/>
      <c r="H269" s="155"/>
      <c r="I269" s="155"/>
      <c r="J269" s="155"/>
      <c r="K269" s="155"/>
      <c r="L269" s="155"/>
      <c r="M269" s="155"/>
      <c r="N269" s="154"/>
      <c r="O269" s="154"/>
      <c r="P269" s="154"/>
      <c r="Q269" s="154"/>
      <c r="R269" s="155"/>
      <c r="S269" s="155"/>
      <c r="T269" s="155"/>
      <c r="U269" s="155"/>
      <c r="V269" s="155"/>
      <c r="W269" s="155"/>
      <c r="X269" s="155"/>
      <c r="Y269" s="155"/>
      <c r="Z269" s="145"/>
      <c r="AA269" s="145"/>
      <c r="AB269" s="145"/>
      <c r="AC269" s="145"/>
      <c r="AD269" s="145"/>
      <c r="AE269" s="145"/>
      <c r="AF269" s="145"/>
      <c r="AG269" s="145" t="s">
        <v>225</v>
      </c>
      <c r="AH269" s="145"/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86" t="str">
        <f>C269</f>
        <v>Dodávka a aplikace parotěsné a paropropustné fólie, těsnicí pásky pod rám a pod vnější parapet, vymezovacího provazce pod vnitřní parapet a silikonového tmelu.</v>
      </c>
      <c r="BB269" s="145"/>
      <c r="BC269" s="145"/>
      <c r="BD269" s="145"/>
      <c r="BE269" s="145"/>
      <c r="BF269" s="145"/>
      <c r="BG269" s="145"/>
      <c r="BH269" s="145"/>
    </row>
    <row r="270" spans="1:60" outlineLevel="2" x14ac:dyDescent="0.25">
      <c r="A270" s="152"/>
      <c r="B270" s="153"/>
      <c r="C270" s="187" t="s">
        <v>476</v>
      </c>
      <c r="D270" s="184"/>
      <c r="E270" s="185">
        <v>20.46</v>
      </c>
      <c r="F270" s="155"/>
      <c r="G270" s="155"/>
      <c r="H270" s="155"/>
      <c r="I270" s="155"/>
      <c r="J270" s="155"/>
      <c r="K270" s="155"/>
      <c r="L270" s="155"/>
      <c r="M270" s="155"/>
      <c r="N270" s="154"/>
      <c r="O270" s="154"/>
      <c r="P270" s="154"/>
      <c r="Q270" s="154"/>
      <c r="R270" s="155"/>
      <c r="S270" s="155"/>
      <c r="T270" s="155"/>
      <c r="U270" s="155"/>
      <c r="V270" s="155"/>
      <c r="W270" s="155"/>
      <c r="X270" s="155"/>
      <c r="Y270" s="155"/>
      <c r="Z270" s="145"/>
      <c r="AA270" s="145"/>
      <c r="AB270" s="145"/>
      <c r="AC270" s="145"/>
      <c r="AD270" s="145"/>
      <c r="AE270" s="145"/>
      <c r="AF270" s="145"/>
      <c r="AG270" s="145" t="s">
        <v>198</v>
      </c>
      <c r="AH270" s="145">
        <v>0</v>
      </c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</row>
    <row r="271" spans="1:60" outlineLevel="3" x14ac:dyDescent="0.25">
      <c r="A271" s="152"/>
      <c r="B271" s="153"/>
      <c r="C271" s="187" t="s">
        <v>477</v>
      </c>
      <c r="D271" s="184"/>
      <c r="E271" s="185">
        <v>3</v>
      </c>
      <c r="F271" s="155"/>
      <c r="G271" s="155"/>
      <c r="H271" s="155"/>
      <c r="I271" s="155"/>
      <c r="J271" s="155"/>
      <c r="K271" s="155"/>
      <c r="L271" s="155"/>
      <c r="M271" s="155"/>
      <c r="N271" s="154"/>
      <c r="O271" s="154"/>
      <c r="P271" s="154"/>
      <c r="Q271" s="154"/>
      <c r="R271" s="155"/>
      <c r="S271" s="155"/>
      <c r="T271" s="155"/>
      <c r="U271" s="155"/>
      <c r="V271" s="155"/>
      <c r="W271" s="155"/>
      <c r="X271" s="155"/>
      <c r="Y271" s="155"/>
      <c r="Z271" s="145"/>
      <c r="AA271" s="145"/>
      <c r="AB271" s="145"/>
      <c r="AC271" s="145"/>
      <c r="AD271" s="145"/>
      <c r="AE271" s="145"/>
      <c r="AF271" s="145"/>
      <c r="AG271" s="145" t="s">
        <v>198</v>
      </c>
      <c r="AH271" s="145">
        <v>0</v>
      </c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</row>
    <row r="272" spans="1:60" outlineLevel="3" x14ac:dyDescent="0.25">
      <c r="A272" s="152"/>
      <c r="B272" s="153"/>
      <c r="C272" s="187" t="s">
        <v>478</v>
      </c>
      <c r="D272" s="184"/>
      <c r="E272" s="185">
        <v>7.4</v>
      </c>
      <c r="F272" s="155"/>
      <c r="G272" s="155"/>
      <c r="H272" s="155"/>
      <c r="I272" s="155"/>
      <c r="J272" s="155"/>
      <c r="K272" s="155"/>
      <c r="L272" s="155"/>
      <c r="M272" s="155"/>
      <c r="N272" s="154"/>
      <c r="O272" s="154"/>
      <c r="P272" s="154"/>
      <c r="Q272" s="154"/>
      <c r="R272" s="155"/>
      <c r="S272" s="155"/>
      <c r="T272" s="155"/>
      <c r="U272" s="155"/>
      <c r="V272" s="155"/>
      <c r="W272" s="155"/>
      <c r="X272" s="155"/>
      <c r="Y272" s="155"/>
      <c r="Z272" s="145"/>
      <c r="AA272" s="145"/>
      <c r="AB272" s="145"/>
      <c r="AC272" s="145"/>
      <c r="AD272" s="145"/>
      <c r="AE272" s="145"/>
      <c r="AF272" s="145"/>
      <c r="AG272" s="145" t="s">
        <v>198</v>
      </c>
      <c r="AH272" s="145">
        <v>0</v>
      </c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</row>
    <row r="273" spans="1:60" outlineLevel="1" x14ac:dyDescent="0.25">
      <c r="A273" s="166">
        <v>112</v>
      </c>
      <c r="B273" s="167" t="s">
        <v>491</v>
      </c>
      <c r="C273" s="180" t="s">
        <v>492</v>
      </c>
      <c r="D273" s="168" t="s">
        <v>197</v>
      </c>
      <c r="E273" s="169">
        <v>40.238999999999997</v>
      </c>
      <c r="F273" s="170"/>
      <c r="G273" s="171">
        <f>ROUND(E273*F273,2)</f>
        <v>0</v>
      </c>
      <c r="H273" s="156">
        <v>0</v>
      </c>
      <c r="I273" s="155">
        <f>ROUND(E273*H273,2)</f>
        <v>0</v>
      </c>
      <c r="J273" s="156">
        <v>750</v>
      </c>
      <c r="K273" s="155">
        <f>ROUND(E273*J273,2)</f>
        <v>30179.25</v>
      </c>
      <c r="L273" s="155">
        <v>21</v>
      </c>
      <c r="M273" s="155">
        <f>G273*(1+L273/100)</f>
        <v>0</v>
      </c>
      <c r="N273" s="154">
        <v>0</v>
      </c>
      <c r="O273" s="154">
        <f>ROUND(E273*N273,2)</f>
        <v>0</v>
      </c>
      <c r="P273" s="154">
        <v>0</v>
      </c>
      <c r="Q273" s="154">
        <f>ROUND(E273*P273,2)</f>
        <v>0</v>
      </c>
      <c r="R273" s="155"/>
      <c r="S273" s="155" t="s">
        <v>144</v>
      </c>
      <c r="T273" s="155" t="s">
        <v>145</v>
      </c>
      <c r="U273" s="155">
        <v>0</v>
      </c>
      <c r="V273" s="155">
        <f>ROUND(E273*U273,2)</f>
        <v>0</v>
      </c>
      <c r="W273" s="155"/>
      <c r="X273" s="155" t="s">
        <v>146</v>
      </c>
      <c r="Y273" s="155" t="s">
        <v>147</v>
      </c>
      <c r="Z273" s="145"/>
      <c r="AA273" s="145"/>
      <c r="AB273" s="145"/>
      <c r="AC273" s="145"/>
      <c r="AD273" s="145"/>
      <c r="AE273" s="145"/>
      <c r="AF273" s="145"/>
      <c r="AG273" s="145" t="s">
        <v>148</v>
      </c>
      <c r="AH273" s="145"/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</row>
    <row r="274" spans="1:60" outlineLevel="2" x14ac:dyDescent="0.25">
      <c r="A274" s="152"/>
      <c r="B274" s="153"/>
      <c r="C274" s="187" t="s">
        <v>493</v>
      </c>
      <c r="D274" s="184"/>
      <c r="E274" s="185">
        <v>40.238999999999997</v>
      </c>
      <c r="F274" s="155"/>
      <c r="G274" s="155"/>
      <c r="H274" s="155"/>
      <c r="I274" s="155"/>
      <c r="J274" s="155"/>
      <c r="K274" s="155"/>
      <c r="L274" s="155"/>
      <c r="M274" s="155"/>
      <c r="N274" s="154"/>
      <c r="O274" s="154"/>
      <c r="P274" s="154"/>
      <c r="Q274" s="154"/>
      <c r="R274" s="155"/>
      <c r="S274" s="155"/>
      <c r="T274" s="155"/>
      <c r="U274" s="155"/>
      <c r="V274" s="155"/>
      <c r="W274" s="155"/>
      <c r="X274" s="155"/>
      <c r="Y274" s="155"/>
      <c r="Z274" s="145"/>
      <c r="AA274" s="145"/>
      <c r="AB274" s="145"/>
      <c r="AC274" s="145"/>
      <c r="AD274" s="145"/>
      <c r="AE274" s="145"/>
      <c r="AF274" s="145"/>
      <c r="AG274" s="145" t="s">
        <v>198</v>
      </c>
      <c r="AH274" s="145">
        <v>0</v>
      </c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</row>
    <row r="275" spans="1:60" outlineLevel="1" x14ac:dyDescent="0.25">
      <c r="A275" s="172">
        <v>113</v>
      </c>
      <c r="B275" s="173" t="s">
        <v>494</v>
      </c>
      <c r="C275" s="179" t="s">
        <v>495</v>
      </c>
      <c r="D275" s="174" t="s">
        <v>161</v>
      </c>
      <c r="E275" s="175">
        <v>1</v>
      </c>
      <c r="F275" s="176"/>
      <c r="G275" s="177">
        <f>ROUND(E275*F275,2)</f>
        <v>0</v>
      </c>
      <c r="H275" s="156">
        <v>0</v>
      </c>
      <c r="I275" s="155">
        <f>ROUND(E275*H275,2)</f>
        <v>0</v>
      </c>
      <c r="J275" s="156">
        <v>725</v>
      </c>
      <c r="K275" s="155">
        <f>ROUND(E275*J275,2)</f>
        <v>725</v>
      </c>
      <c r="L275" s="155">
        <v>21</v>
      </c>
      <c r="M275" s="155">
        <f>G275*(1+L275/100)</f>
        <v>0</v>
      </c>
      <c r="N275" s="154">
        <v>0</v>
      </c>
      <c r="O275" s="154">
        <f>ROUND(E275*N275,2)</f>
        <v>0</v>
      </c>
      <c r="P275" s="154">
        <v>0</v>
      </c>
      <c r="Q275" s="154">
        <f>ROUND(E275*P275,2)</f>
        <v>0</v>
      </c>
      <c r="R275" s="155"/>
      <c r="S275" s="155" t="s">
        <v>999</v>
      </c>
      <c r="T275" s="155" t="s">
        <v>999</v>
      </c>
      <c r="U275" s="155">
        <v>1.45</v>
      </c>
      <c r="V275" s="155">
        <f>ROUND(E275*U275,2)</f>
        <v>1.45</v>
      </c>
      <c r="W275" s="155"/>
      <c r="X275" s="155" t="s">
        <v>146</v>
      </c>
      <c r="Y275" s="155" t="s">
        <v>147</v>
      </c>
      <c r="Z275" s="145"/>
      <c r="AA275" s="145"/>
      <c r="AB275" s="145"/>
      <c r="AC275" s="145"/>
      <c r="AD275" s="145"/>
      <c r="AE275" s="145"/>
      <c r="AF275" s="145"/>
      <c r="AG275" s="145" t="s">
        <v>148</v>
      </c>
      <c r="AH275" s="145"/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</row>
    <row r="276" spans="1:60" ht="20.399999999999999" outlineLevel="1" x14ac:dyDescent="0.25">
      <c r="A276" s="172">
        <v>114</v>
      </c>
      <c r="B276" s="173" t="s">
        <v>496</v>
      </c>
      <c r="C276" s="179" t="s">
        <v>1016</v>
      </c>
      <c r="D276" s="174" t="s">
        <v>161</v>
      </c>
      <c r="E276" s="175">
        <v>1</v>
      </c>
      <c r="F276" s="176"/>
      <c r="G276" s="177">
        <f>ROUND(E276*F276,2)</f>
        <v>0</v>
      </c>
      <c r="H276" s="156">
        <v>0</v>
      </c>
      <c r="I276" s="155">
        <f>ROUND(E276*H276,2)</f>
        <v>0</v>
      </c>
      <c r="J276" s="156">
        <v>13658</v>
      </c>
      <c r="K276" s="155">
        <f>ROUND(E276*J276,2)</f>
        <v>13658</v>
      </c>
      <c r="L276" s="155">
        <v>21</v>
      </c>
      <c r="M276" s="155">
        <f>G276*(1+L276/100)</f>
        <v>0</v>
      </c>
      <c r="N276" s="154">
        <v>2.1999999999999999E-2</v>
      </c>
      <c r="O276" s="154">
        <f>ROUND(E276*N276,2)</f>
        <v>0.02</v>
      </c>
      <c r="P276" s="154">
        <v>0</v>
      </c>
      <c r="Q276" s="154">
        <f>ROUND(E276*P276,2)</f>
        <v>0</v>
      </c>
      <c r="R276" s="155"/>
      <c r="S276" s="155" t="s">
        <v>144</v>
      </c>
      <c r="T276" s="155" t="s">
        <v>145</v>
      </c>
      <c r="U276" s="155">
        <v>0</v>
      </c>
      <c r="V276" s="155">
        <f>ROUND(E276*U276,2)</f>
        <v>0</v>
      </c>
      <c r="W276" s="155"/>
      <c r="X276" s="155" t="s">
        <v>146</v>
      </c>
      <c r="Y276" s="155" t="s">
        <v>147</v>
      </c>
      <c r="Z276" s="145"/>
      <c r="AA276" s="145"/>
      <c r="AB276" s="145"/>
      <c r="AC276" s="145"/>
      <c r="AD276" s="145"/>
      <c r="AE276" s="145"/>
      <c r="AF276" s="145"/>
      <c r="AG276" s="145" t="s">
        <v>148</v>
      </c>
      <c r="AH276" s="145"/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</row>
    <row r="277" spans="1:60" outlineLevel="1" x14ac:dyDescent="0.25">
      <c r="A277" s="166">
        <v>115</v>
      </c>
      <c r="B277" s="167" t="s">
        <v>497</v>
      </c>
      <c r="C277" s="180" t="s">
        <v>498</v>
      </c>
      <c r="D277" s="168" t="s">
        <v>161</v>
      </c>
      <c r="E277" s="169">
        <v>1</v>
      </c>
      <c r="F277" s="170"/>
      <c r="G277" s="171">
        <f>ROUND(E277*F277,2)</f>
        <v>0</v>
      </c>
      <c r="H277" s="156">
        <v>0</v>
      </c>
      <c r="I277" s="155">
        <f>ROUND(E277*H277,2)</f>
        <v>0</v>
      </c>
      <c r="J277" s="156">
        <v>1367</v>
      </c>
      <c r="K277" s="155">
        <f>ROUND(E277*J277,2)</f>
        <v>1367</v>
      </c>
      <c r="L277" s="155">
        <v>21</v>
      </c>
      <c r="M277" s="155">
        <f>G277*(1+L277/100)</f>
        <v>0</v>
      </c>
      <c r="N277" s="154">
        <v>0</v>
      </c>
      <c r="O277" s="154">
        <f>ROUND(E277*N277,2)</f>
        <v>0</v>
      </c>
      <c r="P277" s="154">
        <v>0</v>
      </c>
      <c r="Q277" s="154">
        <f>ROUND(E277*P277,2)</f>
        <v>0</v>
      </c>
      <c r="R277" s="155"/>
      <c r="S277" s="155" t="s">
        <v>999</v>
      </c>
      <c r="T277" s="155" t="s">
        <v>999</v>
      </c>
      <c r="U277" s="155">
        <v>2.5099999999999998</v>
      </c>
      <c r="V277" s="155">
        <f>ROUND(E277*U277,2)</f>
        <v>2.5099999999999998</v>
      </c>
      <c r="W277" s="155"/>
      <c r="X277" s="155" t="s">
        <v>146</v>
      </c>
      <c r="Y277" s="155" t="s">
        <v>147</v>
      </c>
      <c r="Z277" s="145"/>
      <c r="AA277" s="145"/>
      <c r="AB277" s="145"/>
      <c r="AC277" s="145"/>
      <c r="AD277" s="145"/>
      <c r="AE277" s="145"/>
      <c r="AF277" s="145"/>
      <c r="AG277" s="145" t="s">
        <v>148</v>
      </c>
      <c r="AH277" s="145"/>
      <c r="AI277" s="145"/>
      <c r="AJ277" s="145"/>
      <c r="AK277" s="145"/>
      <c r="AL277" s="145"/>
      <c r="AM277" s="145"/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  <c r="BA277" s="145"/>
      <c r="BB277" s="145"/>
      <c r="BC277" s="145"/>
      <c r="BD277" s="145"/>
      <c r="BE277" s="145"/>
      <c r="BF277" s="145"/>
      <c r="BG277" s="145"/>
      <c r="BH277" s="145"/>
    </row>
    <row r="278" spans="1:60" ht="20.399999999999999" outlineLevel="1" x14ac:dyDescent="0.25">
      <c r="A278" s="172">
        <v>116</v>
      </c>
      <c r="B278" s="173" t="s">
        <v>499</v>
      </c>
      <c r="C278" s="179" t="s">
        <v>1017</v>
      </c>
      <c r="D278" s="174" t="s">
        <v>161</v>
      </c>
      <c r="E278" s="175">
        <v>1</v>
      </c>
      <c r="F278" s="176"/>
      <c r="G278" s="177">
        <f>ROUND(E278*F278,2)</f>
        <v>0</v>
      </c>
      <c r="H278" s="156">
        <v>0</v>
      </c>
      <c r="I278" s="155">
        <f>ROUND(E278*H278,2)</f>
        <v>0</v>
      </c>
      <c r="J278" s="156">
        <v>6690</v>
      </c>
      <c r="K278" s="155">
        <f>ROUND(E278*J278,2)</f>
        <v>6690</v>
      </c>
      <c r="L278" s="155">
        <v>21</v>
      </c>
      <c r="M278" s="155">
        <f>G278*(1+L278/100)</f>
        <v>0</v>
      </c>
      <c r="N278" s="154">
        <v>2.1999999999999999E-2</v>
      </c>
      <c r="O278" s="154">
        <f>ROUND(E278*N278,2)</f>
        <v>0.02</v>
      </c>
      <c r="P278" s="154">
        <v>0</v>
      </c>
      <c r="Q278" s="154">
        <f>ROUND(E278*P278,2)</f>
        <v>0</v>
      </c>
      <c r="R278" s="155"/>
      <c r="S278" s="155" t="s">
        <v>144</v>
      </c>
      <c r="T278" s="155" t="s">
        <v>145</v>
      </c>
      <c r="U278" s="155">
        <v>0</v>
      </c>
      <c r="V278" s="155">
        <f>ROUND(E278*U278,2)</f>
        <v>0</v>
      </c>
      <c r="W278" s="155"/>
      <c r="X278" s="155" t="s">
        <v>146</v>
      </c>
      <c r="Y278" s="155" t="s">
        <v>147</v>
      </c>
      <c r="Z278" s="145"/>
      <c r="AA278" s="145"/>
      <c r="AB278" s="145"/>
      <c r="AC278" s="145"/>
      <c r="AD278" s="145"/>
      <c r="AE278" s="145"/>
      <c r="AF278" s="145"/>
      <c r="AG278" s="145" t="s">
        <v>148</v>
      </c>
      <c r="AH278" s="145"/>
      <c r="AI278" s="145"/>
      <c r="AJ278" s="145"/>
      <c r="AK278" s="145"/>
      <c r="AL278" s="145"/>
      <c r="AM278" s="145"/>
      <c r="AN278" s="145"/>
      <c r="AO278" s="145"/>
      <c r="AP278" s="145"/>
      <c r="AQ278" s="145"/>
      <c r="AR278" s="145"/>
      <c r="AS278" s="145"/>
      <c r="AT278" s="145"/>
      <c r="AU278" s="145"/>
      <c r="AV278" s="145"/>
      <c r="AW278" s="145"/>
      <c r="AX278" s="145"/>
      <c r="AY278" s="145"/>
      <c r="AZ278" s="145"/>
      <c r="BA278" s="145"/>
      <c r="BB278" s="145"/>
      <c r="BC278" s="145"/>
      <c r="BD278" s="145"/>
      <c r="BE278" s="145"/>
      <c r="BF278" s="145"/>
      <c r="BG278" s="145"/>
      <c r="BH278" s="145"/>
    </row>
    <row r="279" spans="1:60" outlineLevel="1" x14ac:dyDescent="0.25">
      <c r="A279" s="166">
        <v>117</v>
      </c>
      <c r="B279" s="167" t="s">
        <v>500</v>
      </c>
      <c r="C279" s="180" t="s">
        <v>501</v>
      </c>
      <c r="D279" s="168" t="s">
        <v>228</v>
      </c>
      <c r="E279" s="169">
        <v>0.23375000000000001</v>
      </c>
      <c r="F279" s="170"/>
      <c r="G279" s="171">
        <f>ROUND(E279*F279,2)</f>
        <v>0</v>
      </c>
      <c r="H279" s="156">
        <v>0</v>
      </c>
      <c r="I279" s="155">
        <f>ROUND(E279*H279,2)</f>
        <v>0</v>
      </c>
      <c r="J279" s="156">
        <v>996</v>
      </c>
      <c r="K279" s="155">
        <f>ROUND(E279*J279,2)</f>
        <v>232.82</v>
      </c>
      <c r="L279" s="155">
        <v>21</v>
      </c>
      <c r="M279" s="155">
        <f>G279*(1+L279/100)</f>
        <v>0</v>
      </c>
      <c r="N279" s="154">
        <v>0</v>
      </c>
      <c r="O279" s="154">
        <f>ROUND(E279*N279,2)</f>
        <v>0</v>
      </c>
      <c r="P279" s="154">
        <v>0</v>
      </c>
      <c r="Q279" s="154">
        <f>ROUND(E279*P279,2)</f>
        <v>0</v>
      </c>
      <c r="R279" s="155"/>
      <c r="S279" s="155" t="s">
        <v>999</v>
      </c>
      <c r="T279" s="155" t="s">
        <v>999</v>
      </c>
      <c r="U279" s="155">
        <v>2.2599999999999998</v>
      </c>
      <c r="V279" s="155">
        <f>ROUND(E279*U279,2)</f>
        <v>0.53</v>
      </c>
      <c r="W279" s="155"/>
      <c r="X279" s="155" t="s">
        <v>146</v>
      </c>
      <c r="Y279" s="155" t="s">
        <v>147</v>
      </c>
      <c r="Z279" s="145"/>
      <c r="AA279" s="145"/>
      <c r="AB279" s="145"/>
      <c r="AC279" s="145"/>
      <c r="AD279" s="145"/>
      <c r="AE279" s="145"/>
      <c r="AF279" s="145"/>
      <c r="AG279" s="145" t="s">
        <v>148</v>
      </c>
      <c r="AH279" s="145"/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45"/>
      <c r="BB279" s="145"/>
      <c r="BC279" s="145"/>
      <c r="BD279" s="145"/>
      <c r="BE279" s="145"/>
      <c r="BF279" s="145"/>
      <c r="BG279" s="145"/>
      <c r="BH279" s="145"/>
    </row>
    <row r="280" spans="1:60" outlineLevel="2" x14ac:dyDescent="0.25">
      <c r="A280" s="152"/>
      <c r="B280" s="153"/>
      <c r="C280" s="187" t="s">
        <v>502</v>
      </c>
      <c r="D280" s="184"/>
      <c r="E280" s="185">
        <v>6.4999999999999997E-4</v>
      </c>
      <c r="F280" s="155"/>
      <c r="G280" s="155"/>
      <c r="H280" s="155"/>
      <c r="I280" s="155"/>
      <c r="J280" s="155"/>
      <c r="K280" s="155"/>
      <c r="L280" s="155"/>
      <c r="M280" s="155"/>
      <c r="N280" s="154"/>
      <c r="O280" s="154"/>
      <c r="P280" s="154"/>
      <c r="Q280" s="154"/>
      <c r="R280" s="155"/>
      <c r="S280" s="155"/>
      <c r="T280" s="155"/>
      <c r="U280" s="155"/>
      <c r="V280" s="155"/>
      <c r="W280" s="155"/>
      <c r="X280" s="155"/>
      <c r="Y280" s="155"/>
      <c r="Z280" s="145"/>
      <c r="AA280" s="145"/>
      <c r="AB280" s="145"/>
      <c r="AC280" s="145"/>
      <c r="AD280" s="145"/>
      <c r="AE280" s="145"/>
      <c r="AF280" s="145"/>
      <c r="AG280" s="145" t="s">
        <v>198</v>
      </c>
      <c r="AH280" s="145">
        <v>6</v>
      </c>
      <c r="AI280" s="145"/>
      <c r="AJ280" s="145"/>
      <c r="AK280" s="145"/>
      <c r="AL280" s="145"/>
      <c r="AM280" s="145"/>
      <c r="AN280" s="145"/>
      <c r="AO280" s="145"/>
      <c r="AP280" s="145"/>
      <c r="AQ280" s="145"/>
      <c r="AR280" s="145"/>
      <c r="AS280" s="145"/>
      <c r="AT280" s="145"/>
      <c r="AU280" s="145"/>
      <c r="AV280" s="145"/>
      <c r="AW280" s="145"/>
      <c r="AX280" s="145"/>
      <c r="AY280" s="145"/>
      <c r="AZ280" s="145"/>
      <c r="BA280" s="145"/>
      <c r="BB280" s="145"/>
      <c r="BC280" s="145"/>
      <c r="BD280" s="145"/>
      <c r="BE280" s="145"/>
      <c r="BF280" s="145"/>
      <c r="BG280" s="145"/>
      <c r="BH280" s="145"/>
    </row>
    <row r="281" spans="1:60" outlineLevel="3" x14ac:dyDescent="0.25">
      <c r="A281" s="152"/>
      <c r="B281" s="153"/>
      <c r="C281" s="187" t="s">
        <v>503</v>
      </c>
      <c r="D281" s="184"/>
      <c r="E281" s="185">
        <v>4.3920000000000001E-2</v>
      </c>
      <c r="F281" s="155"/>
      <c r="G281" s="155"/>
      <c r="H281" s="155"/>
      <c r="I281" s="155"/>
      <c r="J281" s="155"/>
      <c r="K281" s="155"/>
      <c r="L281" s="155"/>
      <c r="M281" s="155"/>
      <c r="N281" s="154"/>
      <c r="O281" s="154"/>
      <c r="P281" s="154"/>
      <c r="Q281" s="154"/>
      <c r="R281" s="155"/>
      <c r="S281" s="155"/>
      <c r="T281" s="155"/>
      <c r="U281" s="155"/>
      <c r="V281" s="155"/>
      <c r="W281" s="155"/>
      <c r="X281" s="155"/>
      <c r="Y281" s="155"/>
      <c r="Z281" s="145"/>
      <c r="AA281" s="145"/>
      <c r="AB281" s="145"/>
      <c r="AC281" s="145"/>
      <c r="AD281" s="145"/>
      <c r="AE281" s="145"/>
      <c r="AF281" s="145"/>
      <c r="AG281" s="145" t="s">
        <v>198</v>
      </c>
      <c r="AH281" s="145">
        <v>6</v>
      </c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</row>
    <row r="282" spans="1:60" outlineLevel="3" x14ac:dyDescent="0.25">
      <c r="A282" s="152"/>
      <c r="B282" s="153"/>
      <c r="C282" s="187" t="s">
        <v>504</v>
      </c>
      <c r="D282" s="184"/>
      <c r="E282" s="185">
        <v>5.9000000000000003E-4</v>
      </c>
      <c r="F282" s="155"/>
      <c r="G282" s="155"/>
      <c r="H282" s="155"/>
      <c r="I282" s="155"/>
      <c r="J282" s="155"/>
      <c r="K282" s="155"/>
      <c r="L282" s="155"/>
      <c r="M282" s="155"/>
      <c r="N282" s="154"/>
      <c r="O282" s="154"/>
      <c r="P282" s="154"/>
      <c r="Q282" s="154"/>
      <c r="R282" s="155"/>
      <c r="S282" s="155"/>
      <c r="T282" s="155"/>
      <c r="U282" s="155"/>
      <c r="V282" s="155"/>
      <c r="W282" s="155"/>
      <c r="X282" s="155"/>
      <c r="Y282" s="155"/>
      <c r="Z282" s="145"/>
      <c r="AA282" s="145"/>
      <c r="AB282" s="145"/>
      <c r="AC282" s="145"/>
      <c r="AD282" s="145"/>
      <c r="AE282" s="145"/>
      <c r="AF282" s="145"/>
      <c r="AG282" s="145" t="s">
        <v>198</v>
      </c>
      <c r="AH282" s="145">
        <v>6</v>
      </c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  <c r="BA282" s="145"/>
      <c r="BB282" s="145"/>
      <c r="BC282" s="145"/>
      <c r="BD282" s="145"/>
      <c r="BE282" s="145"/>
      <c r="BF282" s="145"/>
      <c r="BG282" s="145"/>
      <c r="BH282" s="145"/>
    </row>
    <row r="283" spans="1:60" outlineLevel="3" x14ac:dyDescent="0.25">
      <c r="A283" s="152"/>
      <c r="B283" s="153"/>
      <c r="C283" s="187" t="s">
        <v>505</v>
      </c>
      <c r="D283" s="184"/>
      <c r="E283" s="185">
        <v>4.5359999999999998E-2</v>
      </c>
      <c r="F283" s="155"/>
      <c r="G283" s="155"/>
      <c r="H283" s="155"/>
      <c r="I283" s="155"/>
      <c r="J283" s="155"/>
      <c r="K283" s="155"/>
      <c r="L283" s="155"/>
      <c r="M283" s="155"/>
      <c r="N283" s="154"/>
      <c r="O283" s="154"/>
      <c r="P283" s="154"/>
      <c r="Q283" s="154"/>
      <c r="R283" s="155"/>
      <c r="S283" s="155"/>
      <c r="T283" s="155"/>
      <c r="U283" s="155"/>
      <c r="V283" s="155"/>
      <c r="W283" s="155"/>
      <c r="X283" s="155"/>
      <c r="Y283" s="155"/>
      <c r="Z283" s="145"/>
      <c r="AA283" s="145"/>
      <c r="AB283" s="145"/>
      <c r="AC283" s="145"/>
      <c r="AD283" s="145"/>
      <c r="AE283" s="145"/>
      <c r="AF283" s="145"/>
      <c r="AG283" s="145" t="s">
        <v>198</v>
      </c>
      <c r="AH283" s="145">
        <v>6</v>
      </c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  <c r="BA283" s="145"/>
      <c r="BB283" s="145"/>
      <c r="BC283" s="145"/>
      <c r="BD283" s="145"/>
      <c r="BE283" s="145"/>
      <c r="BF283" s="145"/>
      <c r="BG283" s="145"/>
      <c r="BH283" s="145"/>
    </row>
    <row r="284" spans="1:60" outlineLevel="3" x14ac:dyDescent="0.25">
      <c r="A284" s="152"/>
      <c r="B284" s="153"/>
      <c r="C284" s="187" t="s">
        <v>506</v>
      </c>
      <c r="D284" s="184"/>
      <c r="E284" s="185">
        <v>2.9199999999999999E-3</v>
      </c>
      <c r="F284" s="155"/>
      <c r="G284" s="155"/>
      <c r="H284" s="155"/>
      <c r="I284" s="155"/>
      <c r="J284" s="155"/>
      <c r="K284" s="155"/>
      <c r="L284" s="155"/>
      <c r="M284" s="155"/>
      <c r="N284" s="154"/>
      <c r="O284" s="154"/>
      <c r="P284" s="154"/>
      <c r="Q284" s="154"/>
      <c r="R284" s="155"/>
      <c r="S284" s="155"/>
      <c r="T284" s="155"/>
      <c r="U284" s="155"/>
      <c r="V284" s="155"/>
      <c r="W284" s="155"/>
      <c r="X284" s="155"/>
      <c r="Y284" s="155"/>
      <c r="Z284" s="145"/>
      <c r="AA284" s="145"/>
      <c r="AB284" s="145"/>
      <c r="AC284" s="145"/>
      <c r="AD284" s="145"/>
      <c r="AE284" s="145"/>
      <c r="AF284" s="145"/>
      <c r="AG284" s="145" t="s">
        <v>198</v>
      </c>
      <c r="AH284" s="145">
        <v>6</v>
      </c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  <c r="BA284" s="145"/>
      <c r="BB284" s="145"/>
      <c r="BC284" s="145"/>
      <c r="BD284" s="145"/>
      <c r="BE284" s="145"/>
      <c r="BF284" s="145"/>
      <c r="BG284" s="145"/>
      <c r="BH284" s="145"/>
    </row>
    <row r="285" spans="1:60" outlineLevel="3" x14ac:dyDescent="0.25">
      <c r="A285" s="152"/>
      <c r="B285" s="153"/>
      <c r="C285" s="187" t="s">
        <v>507</v>
      </c>
      <c r="D285" s="184"/>
      <c r="E285" s="185">
        <v>6.2E-4</v>
      </c>
      <c r="F285" s="155"/>
      <c r="G285" s="155"/>
      <c r="H285" s="155"/>
      <c r="I285" s="155"/>
      <c r="J285" s="155"/>
      <c r="K285" s="155"/>
      <c r="L285" s="155"/>
      <c r="M285" s="155"/>
      <c r="N285" s="154"/>
      <c r="O285" s="154"/>
      <c r="P285" s="154"/>
      <c r="Q285" s="154"/>
      <c r="R285" s="155"/>
      <c r="S285" s="155"/>
      <c r="T285" s="155"/>
      <c r="U285" s="155"/>
      <c r="V285" s="155"/>
      <c r="W285" s="155"/>
      <c r="X285" s="155"/>
      <c r="Y285" s="155"/>
      <c r="Z285" s="145"/>
      <c r="AA285" s="145"/>
      <c r="AB285" s="145"/>
      <c r="AC285" s="145"/>
      <c r="AD285" s="145"/>
      <c r="AE285" s="145"/>
      <c r="AF285" s="145"/>
      <c r="AG285" s="145" t="s">
        <v>198</v>
      </c>
      <c r="AH285" s="145">
        <v>6</v>
      </c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  <c r="BA285" s="145"/>
      <c r="BB285" s="145"/>
      <c r="BC285" s="145"/>
      <c r="BD285" s="145"/>
      <c r="BE285" s="145"/>
      <c r="BF285" s="145"/>
      <c r="BG285" s="145"/>
      <c r="BH285" s="145"/>
    </row>
    <row r="286" spans="1:60" outlineLevel="3" x14ac:dyDescent="0.25">
      <c r="A286" s="152"/>
      <c r="B286" s="153"/>
      <c r="C286" s="187" t="s">
        <v>508</v>
      </c>
      <c r="D286" s="184"/>
      <c r="E286" s="185">
        <v>4.36E-2</v>
      </c>
      <c r="F286" s="155"/>
      <c r="G286" s="155"/>
      <c r="H286" s="155"/>
      <c r="I286" s="155"/>
      <c r="J286" s="155"/>
      <c r="K286" s="155"/>
      <c r="L286" s="155"/>
      <c r="M286" s="155"/>
      <c r="N286" s="154"/>
      <c r="O286" s="154"/>
      <c r="P286" s="154"/>
      <c r="Q286" s="154"/>
      <c r="R286" s="155"/>
      <c r="S286" s="155"/>
      <c r="T286" s="155"/>
      <c r="U286" s="155"/>
      <c r="V286" s="155"/>
      <c r="W286" s="155"/>
      <c r="X286" s="155"/>
      <c r="Y286" s="155"/>
      <c r="Z286" s="145"/>
      <c r="AA286" s="145"/>
      <c r="AB286" s="145"/>
      <c r="AC286" s="145"/>
      <c r="AD286" s="145"/>
      <c r="AE286" s="145"/>
      <c r="AF286" s="145"/>
      <c r="AG286" s="145" t="s">
        <v>198</v>
      </c>
      <c r="AH286" s="145">
        <v>6</v>
      </c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  <c r="BA286" s="145"/>
      <c r="BB286" s="145"/>
      <c r="BC286" s="145"/>
      <c r="BD286" s="145"/>
      <c r="BE286" s="145"/>
      <c r="BF286" s="145"/>
      <c r="BG286" s="145"/>
      <c r="BH286" s="145"/>
    </row>
    <row r="287" spans="1:60" outlineLevel="3" x14ac:dyDescent="0.25">
      <c r="A287" s="152"/>
      <c r="B287" s="153"/>
      <c r="C287" s="187" t="s">
        <v>509</v>
      </c>
      <c r="D287" s="184"/>
      <c r="E287" s="185">
        <v>3.6799999999999999E-2</v>
      </c>
      <c r="F287" s="155"/>
      <c r="G287" s="155"/>
      <c r="H287" s="155"/>
      <c r="I287" s="155"/>
      <c r="J287" s="155"/>
      <c r="K287" s="155"/>
      <c r="L287" s="155"/>
      <c r="M287" s="155"/>
      <c r="N287" s="154"/>
      <c r="O287" s="154"/>
      <c r="P287" s="154"/>
      <c r="Q287" s="154"/>
      <c r="R287" s="155"/>
      <c r="S287" s="155"/>
      <c r="T287" s="155"/>
      <c r="U287" s="155"/>
      <c r="V287" s="155"/>
      <c r="W287" s="155"/>
      <c r="X287" s="155"/>
      <c r="Y287" s="155"/>
      <c r="Z287" s="145"/>
      <c r="AA287" s="145"/>
      <c r="AB287" s="145"/>
      <c r="AC287" s="145"/>
      <c r="AD287" s="145"/>
      <c r="AE287" s="145"/>
      <c r="AF287" s="145"/>
      <c r="AG287" s="145" t="s">
        <v>198</v>
      </c>
      <c r="AH287" s="145">
        <v>6</v>
      </c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  <c r="BA287" s="145"/>
      <c r="BB287" s="145"/>
      <c r="BC287" s="145"/>
      <c r="BD287" s="145"/>
      <c r="BE287" s="145"/>
      <c r="BF287" s="145"/>
      <c r="BG287" s="145"/>
      <c r="BH287" s="145"/>
    </row>
    <row r="288" spans="1:60" outlineLevel="3" x14ac:dyDescent="0.25">
      <c r="A288" s="152"/>
      <c r="B288" s="153"/>
      <c r="C288" s="187" t="s">
        <v>510</v>
      </c>
      <c r="D288" s="184"/>
      <c r="E288" s="185">
        <v>1.159E-2</v>
      </c>
      <c r="F288" s="155"/>
      <c r="G288" s="155"/>
      <c r="H288" s="155"/>
      <c r="I288" s="155"/>
      <c r="J288" s="155"/>
      <c r="K288" s="155"/>
      <c r="L288" s="155"/>
      <c r="M288" s="155"/>
      <c r="N288" s="154"/>
      <c r="O288" s="154"/>
      <c r="P288" s="154"/>
      <c r="Q288" s="154"/>
      <c r="R288" s="155"/>
      <c r="S288" s="155"/>
      <c r="T288" s="155"/>
      <c r="U288" s="155"/>
      <c r="V288" s="155"/>
      <c r="W288" s="155"/>
      <c r="X288" s="155"/>
      <c r="Y288" s="155"/>
      <c r="Z288" s="145"/>
      <c r="AA288" s="145"/>
      <c r="AB288" s="145"/>
      <c r="AC288" s="145"/>
      <c r="AD288" s="145"/>
      <c r="AE288" s="145"/>
      <c r="AF288" s="145"/>
      <c r="AG288" s="145" t="s">
        <v>198</v>
      </c>
      <c r="AH288" s="145">
        <v>6</v>
      </c>
      <c r="AI288" s="145"/>
      <c r="AJ288" s="145"/>
      <c r="AK288" s="145"/>
      <c r="AL288" s="145"/>
      <c r="AM288" s="145"/>
      <c r="AN288" s="145"/>
      <c r="AO288" s="145"/>
      <c r="AP288" s="145"/>
      <c r="AQ288" s="145"/>
      <c r="AR288" s="145"/>
      <c r="AS288" s="145"/>
      <c r="AT288" s="145"/>
      <c r="AU288" s="145"/>
      <c r="AV288" s="145"/>
      <c r="AW288" s="145"/>
      <c r="AX288" s="145"/>
      <c r="AY288" s="145"/>
      <c r="AZ288" s="145"/>
      <c r="BA288" s="145"/>
      <c r="BB288" s="145"/>
      <c r="BC288" s="145"/>
      <c r="BD288" s="145"/>
      <c r="BE288" s="145"/>
      <c r="BF288" s="145"/>
      <c r="BG288" s="145"/>
      <c r="BH288" s="145"/>
    </row>
    <row r="289" spans="1:60" outlineLevel="3" x14ac:dyDescent="0.25">
      <c r="A289" s="152"/>
      <c r="B289" s="153"/>
      <c r="C289" s="187" t="s">
        <v>511</v>
      </c>
      <c r="D289" s="184"/>
      <c r="E289" s="185">
        <v>3.7000000000000002E-3</v>
      </c>
      <c r="F289" s="155"/>
      <c r="G289" s="155"/>
      <c r="H289" s="155"/>
      <c r="I289" s="155"/>
      <c r="J289" s="155"/>
      <c r="K289" s="155"/>
      <c r="L289" s="155"/>
      <c r="M289" s="155"/>
      <c r="N289" s="154"/>
      <c r="O289" s="154"/>
      <c r="P289" s="154"/>
      <c r="Q289" s="154"/>
      <c r="R289" s="155"/>
      <c r="S289" s="155"/>
      <c r="T289" s="155"/>
      <c r="U289" s="155"/>
      <c r="V289" s="155"/>
      <c r="W289" s="155"/>
      <c r="X289" s="155"/>
      <c r="Y289" s="155"/>
      <c r="Z289" s="145"/>
      <c r="AA289" s="145"/>
      <c r="AB289" s="145"/>
      <c r="AC289" s="145"/>
      <c r="AD289" s="145"/>
      <c r="AE289" s="145"/>
      <c r="AF289" s="145"/>
      <c r="AG289" s="145" t="s">
        <v>198</v>
      </c>
      <c r="AH289" s="145">
        <v>6</v>
      </c>
      <c r="AI289" s="145"/>
      <c r="AJ289" s="145"/>
      <c r="AK289" s="145"/>
      <c r="AL289" s="145"/>
      <c r="AM289" s="145"/>
      <c r="AN289" s="145"/>
      <c r="AO289" s="145"/>
      <c r="AP289" s="145"/>
      <c r="AQ289" s="145"/>
      <c r="AR289" s="145"/>
      <c r="AS289" s="145"/>
      <c r="AT289" s="145"/>
      <c r="AU289" s="145"/>
      <c r="AV289" s="145"/>
      <c r="AW289" s="145"/>
      <c r="AX289" s="145"/>
      <c r="AY289" s="145"/>
      <c r="AZ289" s="145"/>
      <c r="BA289" s="145"/>
      <c r="BB289" s="145"/>
      <c r="BC289" s="145"/>
      <c r="BD289" s="145"/>
      <c r="BE289" s="145"/>
      <c r="BF289" s="145"/>
      <c r="BG289" s="145"/>
      <c r="BH289" s="145"/>
    </row>
    <row r="290" spans="1:60" outlineLevel="3" x14ac:dyDescent="0.25">
      <c r="A290" s="152"/>
      <c r="B290" s="153"/>
      <c r="C290" s="187" t="s">
        <v>512</v>
      </c>
      <c r="D290" s="184"/>
      <c r="E290" s="185">
        <v>2.1999999999999999E-2</v>
      </c>
      <c r="F290" s="155"/>
      <c r="G290" s="155"/>
      <c r="H290" s="155"/>
      <c r="I290" s="155"/>
      <c r="J290" s="155"/>
      <c r="K290" s="155"/>
      <c r="L290" s="155"/>
      <c r="M290" s="155"/>
      <c r="N290" s="154"/>
      <c r="O290" s="154"/>
      <c r="P290" s="154"/>
      <c r="Q290" s="154"/>
      <c r="R290" s="155"/>
      <c r="S290" s="155"/>
      <c r="T290" s="155"/>
      <c r="U290" s="155"/>
      <c r="V290" s="155"/>
      <c r="W290" s="155"/>
      <c r="X290" s="155"/>
      <c r="Y290" s="155"/>
      <c r="Z290" s="145"/>
      <c r="AA290" s="145"/>
      <c r="AB290" s="145"/>
      <c r="AC290" s="145"/>
      <c r="AD290" s="145"/>
      <c r="AE290" s="145"/>
      <c r="AF290" s="145"/>
      <c r="AG290" s="145" t="s">
        <v>198</v>
      </c>
      <c r="AH290" s="145">
        <v>6</v>
      </c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  <c r="BA290" s="145"/>
      <c r="BB290" s="145"/>
      <c r="BC290" s="145"/>
      <c r="BD290" s="145"/>
      <c r="BE290" s="145"/>
      <c r="BF290" s="145"/>
      <c r="BG290" s="145"/>
      <c r="BH290" s="145"/>
    </row>
    <row r="291" spans="1:60" outlineLevel="3" x14ac:dyDescent="0.25">
      <c r="A291" s="152"/>
      <c r="B291" s="153"/>
      <c r="C291" s="187" t="s">
        <v>513</v>
      </c>
      <c r="D291" s="184"/>
      <c r="E291" s="185">
        <v>2.1999999999999999E-2</v>
      </c>
      <c r="F291" s="155"/>
      <c r="G291" s="155"/>
      <c r="H291" s="155"/>
      <c r="I291" s="155"/>
      <c r="J291" s="155"/>
      <c r="K291" s="155"/>
      <c r="L291" s="155"/>
      <c r="M291" s="155"/>
      <c r="N291" s="154"/>
      <c r="O291" s="154"/>
      <c r="P291" s="154"/>
      <c r="Q291" s="154"/>
      <c r="R291" s="155"/>
      <c r="S291" s="155"/>
      <c r="T291" s="155"/>
      <c r="U291" s="155"/>
      <c r="V291" s="155"/>
      <c r="W291" s="155"/>
      <c r="X291" s="155"/>
      <c r="Y291" s="155"/>
      <c r="Z291" s="145"/>
      <c r="AA291" s="145"/>
      <c r="AB291" s="145"/>
      <c r="AC291" s="145"/>
      <c r="AD291" s="145"/>
      <c r="AE291" s="145"/>
      <c r="AF291" s="145"/>
      <c r="AG291" s="145" t="s">
        <v>198</v>
      </c>
      <c r="AH291" s="145">
        <v>6</v>
      </c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  <c r="BA291" s="145"/>
      <c r="BB291" s="145"/>
      <c r="BC291" s="145"/>
      <c r="BD291" s="145"/>
      <c r="BE291" s="145"/>
      <c r="BF291" s="145"/>
      <c r="BG291" s="145"/>
      <c r="BH291" s="145"/>
    </row>
    <row r="292" spans="1:60" x14ac:dyDescent="0.25">
      <c r="A292" s="159" t="s">
        <v>139</v>
      </c>
      <c r="B292" s="160" t="s">
        <v>99</v>
      </c>
      <c r="C292" s="178" t="s">
        <v>100</v>
      </c>
      <c r="D292" s="161"/>
      <c r="E292" s="162"/>
      <c r="F292" s="163"/>
      <c r="G292" s="164">
        <f>SUMIF(AG293:AG302,"&lt;&gt;NOR",G293:G302)</f>
        <v>0</v>
      </c>
      <c r="H292" s="158"/>
      <c r="I292" s="158">
        <f>SUM(I293:I302)</f>
        <v>25330.620000000003</v>
      </c>
      <c r="J292" s="158"/>
      <c r="K292" s="158">
        <f>SUM(K293:K302)</f>
        <v>31333.379999999997</v>
      </c>
      <c r="L292" s="158"/>
      <c r="M292" s="158">
        <f>SUM(M293:M302)</f>
        <v>0</v>
      </c>
      <c r="N292" s="157"/>
      <c r="O292" s="157">
        <f>SUM(O293:O302)</f>
        <v>0.01</v>
      </c>
      <c r="P292" s="157"/>
      <c r="Q292" s="157">
        <f>SUM(Q293:Q302)</f>
        <v>0</v>
      </c>
      <c r="R292" s="158"/>
      <c r="S292" s="158"/>
      <c r="T292" s="158"/>
      <c r="U292" s="158"/>
      <c r="V292" s="158">
        <f>SUM(V293:V302)</f>
        <v>10.76</v>
      </c>
      <c r="W292" s="158"/>
      <c r="X292" s="158"/>
      <c r="Y292" s="158"/>
      <c r="AG292" t="s">
        <v>140</v>
      </c>
    </row>
    <row r="293" spans="1:60" outlineLevel="1" x14ac:dyDescent="0.25">
      <c r="A293" s="172">
        <v>118</v>
      </c>
      <c r="B293" s="173" t="s">
        <v>514</v>
      </c>
      <c r="C293" s="179" t="s">
        <v>1000</v>
      </c>
      <c r="D293" s="174" t="s">
        <v>161</v>
      </c>
      <c r="E293" s="175">
        <v>1</v>
      </c>
      <c r="F293" s="176"/>
      <c r="G293" s="177">
        <f>ROUND(E293*F293,2)</f>
        <v>0</v>
      </c>
      <c r="H293" s="156">
        <v>0</v>
      </c>
      <c r="I293" s="155">
        <f>ROUND(E293*H293,2)</f>
        <v>0</v>
      </c>
      <c r="J293" s="156">
        <v>25000</v>
      </c>
      <c r="K293" s="155">
        <f>ROUND(E293*J293,2)</f>
        <v>25000</v>
      </c>
      <c r="L293" s="155">
        <v>21</v>
      </c>
      <c r="M293" s="155">
        <f>G293*(1+L293/100)</f>
        <v>0</v>
      </c>
      <c r="N293" s="154">
        <v>0</v>
      </c>
      <c r="O293" s="154">
        <f>ROUND(E293*N293,2)</f>
        <v>0</v>
      </c>
      <c r="P293" s="154">
        <v>0</v>
      </c>
      <c r="Q293" s="154">
        <f>ROUND(E293*P293,2)</f>
        <v>0</v>
      </c>
      <c r="R293" s="155"/>
      <c r="S293" s="155" t="s">
        <v>144</v>
      </c>
      <c r="T293" s="155" t="s">
        <v>145</v>
      </c>
      <c r="U293" s="155">
        <v>0</v>
      </c>
      <c r="V293" s="155">
        <f>ROUND(E293*U293,2)</f>
        <v>0</v>
      </c>
      <c r="W293" s="155"/>
      <c r="X293" s="155" t="s">
        <v>146</v>
      </c>
      <c r="Y293" s="155" t="s">
        <v>147</v>
      </c>
      <c r="Z293" s="145"/>
      <c r="AA293" s="145"/>
      <c r="AB293" s="145"/>
      <c r="AC293" s="145"/>
      <c r="AD293" s="145"/>
      <c r="AE293" s="145"/>
      <c r="AF293" s="145"/>
      <c r="AG293" s="145" t="s">
        <v>148</v>
      </c>
      <c r="AH293" s="145"/>
      <c r="AI293" s="145"/>
      <c r="AJ293" s="145"/>
      <c r="AK293" s="145"/>
      <c r="AL293" s="145"/>
      <c r="AM293" s="145"/>
      <c r="AN293" s="145"/>
      <c r="AO293" s="145"/>
      <c r="AP293" s="145"/>
      <c r="AQ293" s="145"/>
      <c r="AR293" s="145"/>
      <c r="AS293" s="145"/>
      <c r="AT293" s="145"/>
      <c r="AU293" s="145"/>
      <c r="AV293" s="145"/>
      <c r="AW293" s="145"/>
      <c r="AX293" s="145"/>
      <c r="AY293" s="145"/>
      <c r="AZ293" s="145"/>
      <c r="BA293" s="145"/>
      <c r="BB293" s="145"/>
      <c r="BC293" s="145"/>
      <c r="BD293" s="145"/>
      <c r="BE293" s="145"/>
      <c r="BF293" s="145"/>
      <c r="BG293" s="145"/>
      <c r="BH293" s="145"/>
    </row>
    <row r="294" spans="1:60" outlineLevel="1" x14ac:dyDescent="0.25">
      <c r="A294" s="172" t="s">
        <v>1011</v>
      </c>
      <c r="B294" s="173" t="s">
        <v>1001</v>
      </c>
      <c r="C294" s="179" t="s">
        <v>1002</v>
      </c>
      <c r="D294" s="174" t="s">
        <v>161</v>
      </c>
      <c r="E294" s="175">
        <v>1</v>
      </c>
      <c r="F294" s="176"/>
      <c r="G294" s="177">
        <f t="shared" ref="G294:G298" si="17">ROUND(E294*F294,2)</f>
        <v>0</v>
      </c>
      <c r="H294" s="156"/>
      <c r="I294" s="155"/>
      <c r="J294" s="156"/>
      <c r="K294" s="155"/>
      <c r="L294" s="155"/>
      <c r="M294" s="155"/>
      <c r="N294" s="154"/>
      <c r="O294" s="154"/>
      <c r="P294" s="154"/>
      <c r="Q294" s="154"/>
      <c r="R294" s="155"/>
      <c r="S294" s="155" t="s">
        <v>144</v>
      </c>
      <c r="T294" s="155" t="s">
        <v>145</v>
      </c>
      <c r="U294" s="155"/>
      <c r="V294" s="155"/>
      <c r="W294" s="155"/>
      <c r="X294" s="155"/>
      <c r="Y294" s="155"/>
      <c r="Z294" s="145"/>
      <c r="AA294" s="145"/>
      <c r="AB294" s="145"/>
      <c r="AC294" s="145"/>
      <c r="AD294" s="145"/>
      <c r="AE294" s="145"/>
      <c r="AF294" s="145"/>
      <c r="AG294" s="145"/>
      <c r="AH294" s="145"/>
      <c r="AI294" s="145"/>
      <c r="AJ294" s="145"/>
      <c r="AK294" s="145"/>
      <c r="AL294" s="145"/>
      <c r="AM294" s="145"/>
      <c r="AN294" s="145"/>
      <c r="AO294" s="145"/>
      <c r="AP294" s="145"/>
      <c r="AQ294" s="145"/>
      <c r="AR294" s="145"/>
      <c r="AS294" s="145"/>
      <c r="AT294" s="145"/>
      <c r="AU294" s="145"/>
      <c r="AV294" s="145"/>
      <c r="AW294" s="145"/>
      <c r="AX294" s="145"/>
      <c r="AY294" s="145"/>
      <c r="AZ294" s="145"/>
      <c r="BA294" s="145"/>
      <c r="BB294" s="145"/>
      <c r="BC294" s="145"/>
      <c r="BD294" s="145"/>
      <c r="BE294" s="145"/>
      <c r="BF294" s="145"/>
      <c r="BG294" s="145"/>
      <c r="BH294" s="145"/>
    </row>
    <row r="295" spans="1:60" outlineLevel="1" x14ac:dyDescent="0.25">
      <c r="A295" s="172" t="s">
        <v>1012</v>
      </c>
      <c r="B295" s="173" t="s">
        <v>1004</v>
      </c>
      <c r="C295" s="179" t="s">
        <v>1003</v>
      </c>
      <c r="D295" s="174" t="s">
        <v>161</v>
      </c>
      <c r="E295" s="175">
        <v>1</v>
      </c>
      <c r="F295" s="176"/>
      <c r="G295" s="177">
        <f t="shared" si="17"/>
        <v>0</v>
      </c>
      <c r="H295" s="156"/>
      <c r="I295" s="155"/>
      <c r="J295" s="156"/>
      <c r="K295" s="155"/>
      <c r="L295" s="155"/>
      <c r="M295" s="155"/>
      <c r="N295" s="154"/>
      <c r="O295" s="154"/>
      <c r="P295" s="154"/>
      <c r="Q295" s="154"/>
      <c r="R295" s="155"/>
      <c r="S295" s="155" t="s">
        <v>144</v>
      </c>
      <c r="T295" s="155" t="s">
        <v>145</v>
      </c>
      <c r="U295" s="155"/>
      <c r="V295" s="155"/>
      <c r="W295" s="155"/>
      <c r="X295" s="155"/>
      <c r="Y295" s="155"/>
      <c r="Z295" s="145"/>
      <c r="AA295" s="145"/>
      <c r="AB295" s="145"/>
      <c r="AC295" s="145"/>
      <c r="AD295" s="145"/>
      <c r="AE295" s="145"/>
      <c r="AF295" s="145"/>
      <c r="AG295" s="145"/>
      <c r="AH295" s="145"/>
      <c r="AI295" s="145"/>
      <c r="AJ295" s="145"/>
      <c r="AK295" s="145"/>
      <c r="AL295" s="145"/>
      <c r="AM295" s="145"/>
      <c r="AN295" s="145"/>
      <c r="AO295" s="145"/>
      <c r="AP295" s="145"/>
      <c r="AQ295" s="145"/>
      <c r="AR295" s="145"/>
      <c r="AS295" s="145"/>
      <c r="AT295" s="145"/>
      <c r="AU295" s="145"/>
      <c r="AV295" s="145"/>
      <c r="AW295" s="145"/>
      <c r="AX295" s="145"/>
      <c r="AY295" s="145"/>
      <c r="AZ295" s="145"/>
      <c r="BA295" s="145"/>
      <c r="BB295" s="145"/>
      <c r="BC295" s="145"/>
      <c r="BD295" s="145"/>
      <c r="BE295" s="145"/>
      <c r="BF295" s="145"/>
      <c r="BG295" s="145"/>
      <c r="BH295" s="145"/>
    </row>
    <row r="296" spans="1:60" outlineLevel="1" x14ac:dyDescent="0.25">
      <c r="A296" s="172" t="s">
        <v>1014</v>
      </c>
      <c r="B296" s="173" t="s">
        <v>1005</v>
      </c>
      <c r="C296" s="179" t="s">
        <v>1006</v>
      </c>
      <c r="D296" s="174" t="s">
        <v>161</v>
      </c>
      <c r="E296" s="175">
        <v>1</v>
      </c>
      <c r="F296" s="176"/>
      <c r="G296" s="177">
        <f t="shared" si="17"/>
        <v>0</v>
      </c>
      <c r="H296" s="156"/>
      <c r="I296" s="155"/>
      <c r="J296" s="156"/>
      <c r="K296" s="155"/>
      <c r="L296" s="155"/>
      <c r="M296" s="155"/>
      <c r="N296" s="154"/>
      <c r="O296" s="154"/>
      <c r="P296" s="154"/>
      <c r="Q296" s="154"/>
      <c r="R296" s="155"/>
      <c r="S296" s="155" t="s">
        <v>144</v>
      </c>
      <c r="T296" s="155" t="s">
        <v>145</v>
      </c>
      <c r="U296" s="155"/>
      <c r="V296" s="155"/>
      <c r="W296" s="155"/>
      <c r="X296" s="155"/>
      <c r="Y296" s="155"/>
      <c r="Z296" s="145"/>
      <c r="AA296" s="145"/>
      <c r="AB296" s="145"/>
      <c r="AC296" s="145"/>
      <c r="AD296" s="145"/>
      <c r="AE296" s="145"/>
      <c r="AF296" s="145"/>
      <c r="AG296" s="145"/>
      <c r="AH296" s="145"/>
      <c r="AI296" s="145"/>
      <c r="AJ296" s="145"/>
      <c r="AK296" s="145"/>
      <c r="AL296" s="145"/>
      <c r="AM296" s="145"/>
      <c r="AN296" s="145"/>
      <c r="AO296" s="145"/>
      <c r="AP296" s="145"/>
      <c r="AQ296" s="145"/>
      <c r="AR296" s="145"/>
      <c r="AS296" s="145"/>
      <c r="AT296" s="145"/>
      <c r="AU296" s="145"/>
      <c r="AV296" s="145"/>
      <c r="AW296" s="145"/>
      <c r="AX296" s="145"/>
      <c r="AY296" s="145"/>
      <c r="AZ296" s="145"/>
      <c r="BA296" s="145"/>
      <c r="BB296" s="145"/>
      <c r="BC296" s="145"/>
      <c r="BD296" s="145"/>
      <c r="BE296" s="145"/>
      <c r="BF296" s="145"/>
      <c r="BG296" s="145"/>
      <c r="BH296" s="145"/>
    </row>
    <row r="297" spans="1:60" outlineLevel="1" x14ac:dyDescent="0.25">
      <c r="A297" s="172" t="s">
        <v>1015</v>
      </c>
      <c r="B297" s="173" t="s">
        <v>1009</v>
      </c>
      <c r="C297" s="179" t="s">
        <v>1007</v>
      </c>
      <c r="D297" s="174" t="s">
        <v>161</v>
      </c>
      <c r="E297" s="175">
        <v>1</v>
      </c>
      <c r="F297" s="176"/>
      <c r="G297" s="177">
        <f t="shared" si="17"/>
        <v>0</v>
      </c>
      <c r="H297" s="156"/>
      <c r="I297" s="155"/>
      <c r="J297" s="156"/>
      <c r="K297" s="155"/>
      <c r="L297" s="155"/>
      <c r="M297" s="155"/>
      <c r="N297" s="154"/>
      <c r="O297" s="154"/>
      <c r="P297" s="154"/>
      <c r="Q297" s="154"/>
      <c r="R297" s="155"/>
      <c r="S297" s="155" t="s">
        <v>144</v>
      </c>
      <c r="T297" s="155" t="s">
        <v>145</v>
      </c>
      <c r="U297" s="155"/>
      <c r="V297" s="155"/>
      <c r="W297" s="155"/>
      <c r="X297" s="155"/>
      <c r="Y297" s="155"/>
      <c r="Z297" s="145"/>
      <c r="AA297" s="145"/>
      <c r="AB297" s="145"/>
      <c r="AC297" s="145"/>
      <c r="AD297" s="145"/>
      <c r="AE297" s="145"/>
      <c r="AF297" s="145"/>
      <c r="AG297" s="145"/>
      <c r="AH297" s="145"/>
      <c r="AI297" s="145"/>
      <c r="AJ297" s="145"/>
      <c r="AK297" s="145"/>
      <c r="AL297" s="145"/>
      <c r="AM297" s="145"/>
      <c r="AN297" s="145"/>
      <c r="AO297" s="145"/>
      <c r="AP297" s="145"/>
      <c r="AQ297" s="145"/>
      <c r="AR297" s="145"/>
      <c r="AS297" s="145"/>
      <c r="AT297" s="145"/>
      <c r="AU297" s="145"/>
      <c r="AV297" s="145"/>
      <c r="AW297" s="145"/>
      <c r="AX297" s="145"/>
      <c r="AY297" s="145"/>
      <c r="AZ297" s="145"/>
      <c r="BA297" s="145"/>
      <c r="BB297" s="145"/>
      <c r="BC297" s="145"/>
      <c r="BD297" s="145"/>
      <c r="BE297" s="145"/>
      <c r="BF297" s="145"/>
      <c r="BG297" s="145"/>
      <c r="BH297" s="145"/>
    </row>
    <row r="298" spans="1:60" outlineLevel="1" x14ac:dyDescent="0.25">
      <c r="A298" s="172" t="s">
        <v>1013</v>
      </c>
      <c r="B298" s="173" t="s">
        <v>1010</v>
      </c>
      <c r="C298" s="179" t="s">
        <v>1008</v>
      </c>
      <c r="D298" s="174" t="s">
        <v>161</v>
      </c>
      <c r="E298" s="175">
        <v>1</v>
      </c>
      <c r="F298" s="176"/>
      <c r="G298" s="177">
        <f t="shared" si="17"/>
        <v>0</v>
      </c>
      <c r="H298" s="156"/>
      <c r="I298" s="155"/>
      <c r="J298" s="156"/>
      <c r="K298" s="155"/>
      <c r="L298" s="155"/>
      <c r="M298" s="155"/>
      <c r="N298" s="154"/>
      <c r="O298" s="154"/>
      <c r="P298" s="154"/>
      <c r="Q298" s="154"/>
      <c r="R298" s="155"/>
      <c r="S298" s="155" t="s">
        <v>144</v>
      </c>
      <c r="T298" s="155" t="s">
        <v>145</v>
      </c>
      <c r="U298" s="155"/>
      <c r="V298" s="155"/>
      <c r="W298" s="155"/>
      <c r="X298" s="155"/>
      <c r="Y298" s="155"/>
      <c r="Z298" s="145"/>
      <c r="AA298" s="145"/>
      <c r="AB298" s="145"/>
      <c r="AC298" s="145"/>
      <c r="AD298" s="145"/>
      <c r="AE298" s="145"/>
      <c r="AF298" s="145"/>
      <c r="AG298" s="145"/>
      <c r="AH298" s="145"/>
      <c r="AI298" s="145"/>
      <c r="AJ298" s="145"/>
      <c r="AK298" s="145"/>
      <c r="AL298" s="145"/>
      <c r="AM298" s="145"/>
      <c r="AN298" s="145"/>
      <c r="AO298" s="145"/>
      <c r="AP298" s="145"/>
      <c r="AQ298" s="145"/>
      <c r="AR298" s="145"/>
      <c r="AS298" s="145"/>
      <c r="AT298" s="145"/>
      <c r="AU298" s="145"/>
      <c r="AV298" s="145"/>
      <c r="AW298" s="145"/>
      <c r="AX298" s="145"/>
      <c r="AY298" s="145"/>
      <c r="AZ298" s="145"/>
      <c r="BA298" s="145"/>
      <c r="BB298" s="145"/>
      <c r="BC298" s="145"/>
      <c r="BD298" s="145"/>
      <c r="BE298" s="145"/>
      <c r="BF298" s="145"/>
      <c r="BG298" s="145"/>
      <c r="BH298" s="145"/>
    </row>
    <row r="299" spans="1:60" ht="20.399999999999999" outlineLevel="1" x14ac:dyDescent="0.25">
      <c r="A299" s="172">
        <v>119</v>
      </c>
      <c r="B299" s="173" t="s">
        <v>515</v>
      </c>
      <c r="C299" s="179" t="s">
        <v>516</v>
      </c>
      <c r="D299" s="174" t="s">
        <v>161</v>
      </c>
      <c r="E299" s="175">
        <v>4</v>
      </c>
      <c r="F299" s="176"/>
      <c r="G299" s="177">
        <f>ROUND(E299*F299,2)</f>
        <v>0</v>
      </c>
      <c r="H299" s="156">
        <v>5035.51</v>
      </c>
      <c r="I299" s="155">
        <f>ROUND(E299*H299,2)</f>
        <v>20142.04</v>
      </c>
      <c r="J299" s="156">
        <v>1554.49</v>
      </c>
      <c r="K299" s="155">
        <f>ROUND(E299*J299,2)</f>
        <v>6217.96</v>
      </c>
      <c r="L299" s="155">
        <v>21</v>
      </c>
      <c r="M299" s="155">
        <f>G299*(1+L299/100)</f>
        <v>0</v>
      </c>
      <c r="N299" s="154">
        <v>2.5000000000000001E-3</v>
      </c>
      <c r="O299" s="154">
        <f>ROUND(E299*N299,2)</f>
        <v>0.01</v>
      </c>
      <c r="P299" s="154">
        <v>0</v>
      </c>
      <c r="Q299" s="154">
        <f>ROUND(E299*P299,2)</f>
        <v>0</v>
      </c>
      <c r="R299" s="155"/>
      <c r="S299" s="155" t="s">
        <v>999</v>
      </c>
      <c r="T299" s="155" t="s">
        <v>999</v>
      </c>
      <c r="U299" s="155">
        <v>2.64</v>
      </c>
      <c r="V299" s="155">
        <f>ROUND(E299*U299,2)</f>
        <v>10.56</v>
      </c>
      <c r="W299" s="155"/>
      <c r="X299" s="155" t="s">
        <v>146</v>
      </c>
      <c r="Y299" s="155" t="s">
        <v>147</v>
      </c>
      <c r="Z299" s="145"/>
      <c r="AA299" s="145"/>
      <c r="AB299" s="145"/>
      <c r="AC299" s="145"/>
      <c r="AD299" s="145"/>
      <c r="AE299" s="145"/>
      <c r="AF299" s="145"/>
      <c r="AG299" s="145" t="s">
        <v>148</v>
      </c>
      <c r="AH299" s="145"/>
      <c r="AI299" s="145"/>
      <c r="AJ299" s="145"/>
      <c r="AK299" s="145"/>
      <c r="AL299" s="145"/>
      <c r="AM299" s="145"/>
      <c r="AN299" s="145"/>
      <c r="AO299" s="145"/>
      <c r="AP299" s="145"/>
      <c r="AQ299" s="145"/>
      <c r="AR299" s="145"/>
      <c r="AS299" s="145"/>
      <c r="AT299" s="145"/>
      <c r="AU299" s="145"/>
      <c r="AV299" s="145"/>
      <c r="AW299" s="145"/>
      <c r="AX299" s="145"/>
      <c r="AY299" s="145"/>
      <c r="AZ299" s="145"/>
      <c r="BA299" s="145"/>
      <c r="BB299" s="145"/>
      <c r="BC299" s="145"/>
      <c r="BD299" s="145"/>
      <c r="BE299" s="145"/>
      <c r="BF299" s="145"/>
      <c r="BG299" s="145"/>
      <c r="BH299" s="145"/>
    </row>
    <row r="300" spans="1:60" outlineLevel="1" x14ac:dyDescent="0.25">
      <c r="A300" s="166">
        <v>120</v>
      </c>
      <c r="B300" s="167" t="s">
        <v>517</v>
      </c>
      <c r="C300" s="180" t="s">
        <v>518</v>
      </c>
      <c r="D300" s="168" t="s">
        <v>161</v>
      </c>
      <c r="E300" s="169">
        <v>1</v>
      </c>
      <c r="F300" s="170"/>
      <c r="G300" s="171">
        <f>ROUND(E300*F300,2)</f>
        <v>0</v>
      </c>
      <c r="H300" s="156">
        <v>4886.3599999999997</v>
      </c>
      <c r="I300" s="155">
        <f>ROUND(E300*H300,2)</f>
        <v>4886.3599999999997</v>
      </c>
      <c r="J300" s="156">
        <v>103.64</v>
      </c>
      <c r="K300" s="155">
        <f>ROUND(E300*J300,2)</f>
        <v>103.64</v>
      </c>
      <c r="L300" s="155">
        <v>21</v>
      </c>
      <c r="M300" s="155">
        <f>G300*(1+L300/100)</f>
        <v>0</v>
      </c>
      <c r="N300" s="154">
        <v>4.4600000000000004E-3</v>
      </c>
      <c r="O300" s="154">
        <f>ROUND(E300*N300,2)</f>
        <v>0</v>
      </c>
      <c r="P300" s="154">
        <v>0</v>
      </c>
      <c r="Q300" s="154">
        <f>ROUND(E300*P300,2)</f>
        <v>0</v>
      </c>
      <c r="R300" s="155"/>
      <c r="S300" s="155" t="s">
        <v>999</v>
      </c>
      <c r="T300" s="155" t="s">
        <v>999</v>
      </c>
      <c r="U300" s="155">
        <v>0.17599999999999999</v>
      </c>
      <c r="V300" s="155">
        <f>ROUND(E300*U300,2)</f>
        <v>0.18</v>
      </c>
      <c r="W300" s="155"/>
      <c r="X300" s="155" t="s">
        <v>146</v>
      </c>
      <c r="Y300" s="155" t="s">
        <v>147</v>
      </c>
      <c r="Z300" s="145"/>
      <c r="AA300" s="145"/>
      <c r="AB300" s="145"/>
      <c r="AC300" s="145"/>
      <c r="AD300" s="145"/>
      <c r="AE300" s="145"/>
      <c r="AF300" s="145"/>
      <c r="AG300" s="145" t="s">
        <v>148</v>
      </c>
      <c r="AH300" s="145"/>
      <c r="AI300" s="145"/>
      <c r="AJ300" s="145"/>
      <c r="AK300" s="145"/>
      <c r="AL300" s="145"/>
      <c r="AM300" s="145"/>
      <c r="AN300" s="145"/>
      <c r="AO300" s="145"/>
      <c r="AP300" s="145"/>
      <c r="AQ300" s="145"/>
      <c r="AR300" s="145"/>
      <c r="AS300" s="145"/>
      <c r="AT300" s="145"/>
      <c r="AU300" s="145"/>
      <c r="AV300" s="145"/>
      <c r="AW300" s="145"/>
      <c r="AX300" s="145"/>
      <c r="AY300" s="145"/>
      <c r="AZ300" s="145"/>
      <c r="BA300" s="145"/>
      <c r="BB300" s="145"/>
      <c r="BC300" s="145"/>
      <c r="BD300" s="145"/>
      <c r="BE300" s="145"/>
      <c r="BF300" s="145"/>
      <c r="BG300" s="145"/>
      <c r="BH300" s="145"/>
    </row>
    <row r="301" spans="1:60" outlineLevel="2" x14ac:dyDescent="0.25">
      <c r="A301" s="152"/>
      <c r="B301" s="153"/>
      <c r="C301" s="187" t="s">
        <v>63</v>
      </c>
      <c r="D301" s="184"/>
      <c r="E301" s="185">
        <v>1</v>
      </c>
      <c r="F301" s="155"/>
      <c r="G301" s="155"/>
      <c r="H301" s="155"/>
      <c r="I301" s="155"/>
      <c r="J301" s="155"/>
      <c r="K301" s="155"/>
      <c r="L301" s="155"/>
      <c r="M301" s="155"/>
      <c r="N301" s="154"/>
      <c r="O301" s="154"/>
      <c r="P301" s="154"/>
      <c r="Q301" s="154"/>
      <c r="R301" s="155"/>
      <c r="S301" s="155"/>
      <c r="T301" s="155"/>
      <c r="U301" s="155"/>
      <c r="V301" s="155"/>
      <c r="W301" s="155"/>
      <c r="X301" s="155"/>
      <c r="Y301" s="155"/>
      <c r="Z301" s="145"/>
      <c r="AA301" s="145"/>
      <c r="AB301" s="145"/>
      <c r="AC301" s="145"/>
      <c r="AD301" s="145"/>
      <c r="AE301" s="145"/>
      <c r="AF301" s="145"/>
      <c r="AG301" s="145" t="s">
        <v>198</v>
      </c>
      <c r="AH301" s="145">
        <v>0</v>
      </c>
      <c r="AI301" s="145"/>
      <c r="AJ301" s="145"/>
      <c r="AK301" s="145"/>
      <c r="AL301" s="145"/>
      <c r="AM301" s="145"/>
      <c r="AN301" s="145"/>
      <c r="AO301" s="145"/>
      <c r="AP301" s="145"/>
      <c r="AQ301" s="145"/>
      <c r="AR301" s="145"/>
      <c r="AS301" s="145"/>
      <c r="AT301" s="145"/>
      <c r="AU301" s="145"/>
      <c r="AV301" s="145"/>
      <c r="AW301" s="145"/>
      <c r="AX301" s="145"/>
      <c r="AY301" s="145"/>
      <c r="AZ301" s="145"/>
      <c r="BA301" s="145"/>
      <c r="BB301" s="145"/>
      <c r="BC301" s="145"/>
      <c r="BD301" s="145"/>
      <c r="BE301" s="145"/>
      <c r="BF301" s="145"/>
      <c r="BG301" s="145"/>
      <c r="BH301" s="145"/>
    </row>
    <row r="302" spans="1:60" outlineLevel="1" x14ac:dyDescent="0.25">
      <c r="A302" s="172">
        <v>121</v>
      </c>
      <c r="B302" s="173" t="s">
        <v>519</v>
      </c>
      <c r="C302" s="179" t="s">
        <v>520</v>
      </c>
      <c r="D302" s="174" t="s">
        <v>161</v>
      </c>
      <c r="E302" s="175">
        <v>1</v>
      </c>
      <c r="F302" s="176"/>
      <c r="G302" s="177">
        <f>ROUND(E302*F302,2)</f>
        <v>0</v>
      </c>
      <c r="H302" s="156">
        <v>302.22000000000003</v>
      </c>
      <c r="I302" s="155">
        <f>ROUND(E302*H302,2)</f>
        <v>302.22000000000003</v>
      </c>
      <c r="J302" s="156">
        <v>11.78</v>
      </c>
      <c r="K302" s="155">
        <f>ROUND(E302*J302,2)</f>
        <v>11.78</v>
      </c>
      <c r="L302" s="155">
        <v>21</v>
      </c>
      <c r="M302" s="155">
        <f>G302*(1+L302/100)</f>
        <v>0</v>
      </c>
      <c r="N302" s="154">
        <v>2.1000000000000001E-4</v>
      </c>
      <c r="O302" s="154">
        <f>ROUND(E302*N302,2)</f>
        <v>0</v>
      </c>
      <c r="P302" s="154">
        <v>0</v>
      </c>
      <c r="Q302" s="154">
        <f>ROUND(E302*P302,2)</f>
        <v>0</v>
      </c>
      <c r="R302" s="155"/>
      <c r="S302" s="155" t="s">
        <v>999</v>
      </c>
      <c r="T302" s="155" t="s">
        <v>999</v>
      </c>
      <c r="U302" s="155">
        <v>0.02</v>
      </c>
      <c r="V302" s="155">
        <f>ROUND(E302*U302,2)</f>
        <v>0.02</v>
      </c>
      <c r="W302" s="155"/>
      <c r="X302" s="155" t="s">
        <v>146</v>
      </c>
      <c r="Y302" s="155" t="s">
        <v>147</v>
      </c>
      <c r="Z302" s="145"/>
      <c r="AA302" s="145"/>
      <c r="AB302" s="145"/>
      <c r="AC302" s="145"/>
      <c r="AD302" s="145"/>
      <c r="AE302" s="145"/>
      <c r="AF302" s="145"/>
      <c r="AG302" s="145" t="s">
        <v>148</v>
      </c>
      <c r="AH302" s="145"/>
      <c r="AI302" s="145"/>
      <c r="AJ302" s="145"/>
      <c r="AK302" s="145"/>
      <c r="AL302" s="145"/>
      <c r="AM302" s="145"/>
      <c r="AN302" s="145"/>
      <c r="AO302" s="145"/>
      <c r="AP302" s="145"/>
      <c r="AQ302" s="145"/>
      <c r="AR302" s="145"/>
      <c r="AS302" s="145"/>
      <c r="AT302" s="145"/>
      <c r="AU302" s="145"/>
      <c r="AV302" s="145"/>
      <c r="AW302" s="145"/>
      <c r="AX302" s="145"/>
      <c r="AY302" s="145"/>
      <c r="AZ302" s="145"/>
      <c r="BA302" s="145"/>
      <c r="BB302" s="145"/>
      <c r="BC302" s="145"/>
      <c r="BD302" s="145"/>
      <c r="BE302" s="145"/>
      <c r="BF302" s="145"/>
      <c r="BG302" s="145"/>
      <c r="BH302" s="145"/>
    </row>
    <row r="303" spans="1:60" x14ac:dyDescent="0.25">
      <c r="A303" s="159" t="s">
        <v>139</v>
      </c>
      <c r="B303" s="160" t="s">
        <v>101</v>
      </c>
      <c r="C303" s="178" t="s">
        <v>102</v>
      </c>
      <c r="D303" s="161"/>
      <c r="E303" s="162"/>
      <c r="F303" s="163"/>
      <c r="G303" s="164">
        <f>SUMIF(AG304:AG320,"&lt;&gt;NOR",G304:G320)</f>
        <v>0</v>
      </c>
      <c r="H303" s="158"/>
      <c r="I303" s="158">
        <f>SUM(I304:I320)</f>
        <v>21319.079999999998</v>
      </c>
      <c r="J303" s="158"/>
      <c r="K303" s="158">
        <f>SUM(K304:K320)</f>
        <v>14775.92</v>
      </c>
      <c r="L303" s="158"/>
      <c r="M303" s="158">
        <f>SUM(M304:M320)</f>
        <v>0</v>
      </c>
      <c r="N303" s="157"/>
      <c r="O303" s="157">
        <f>SUM(O304:O320)</f>
        <v>0.53</v>
      </c>
      <c r="P303" s="157"/>
      <c r="Q303" s="157">
        <f>SUM(Q304:Q320)</f>
        <v>0</v>
      </c>
      <c r="R303" s="158"/>
      <c r="S303" s="158"/>
      <c r="T303" s="158"/>
      <c r="U303" s="158"/>
      <c r="V303" s="158">
        <f>SUM(V304:V320)</f>
        <v>27.01</v>
      </c>
      <c r="W303" s="158"/>
      <c r="X303" s="158"/>
      <c r="Y303" s="158"/>
      <c r="AG303" t="s">
        <v>140</v>
      </c>
    </row>
    <row r="304" spans="1:60" outlineLevel="1" x14ac:dyDescent="0.25">
      <c r="A304" s="172">
        <v>122</v>
      </c>
      <c r="B304" s="173" t="s">
        <v>521</v>
      </c>
      <c r="C304" s="179" t="s">
        <v>522</v>
      </c>
      <c r="D304" s="174" t="s">
        <v>197</v>
      </c>
      <c r="E304" s="175">
        <v>18.12</v>
      </c>
      <c r="F304" s="176"/>
      <c r="G304" s="177">
        <f>ROUND(E304*F304,2)</f>
        <v>0</v>
      </c>
      <c r="H304" s="156">
        <v>0</v>
      </c>
      <c r="I304" s="155">
        <f>ROUND(E304*H304,2)</f>
        <v>0</v>
      </c>
      <c r="J304" s="156">
        <v>7.8</v>
      </c>
      <c r="K304" s="155">
        <f>ROUND(E304*J304,2)</f>
        <v>141.34</v>
      </c>
      <c r="L304" s="155">
        <v>21</v>
      </c>
      <c r="M304" s="155">
        <f>G304*(1+L304/100)</f>
        <v>0</v>
      </c>
      <c r="N304" s="154">
        <v>0</v>
      </c>
      <c r="O304" s="154">
        <f>ROUND(E304*N304,2)</f>
        <v>0</v>
      </c>
      <c r="P304" s="154">
        <v>0</v>
      </c>
      <c r="Q304" s="154">
        <f>ROUND(E304*P304,2)</f>
        <v>0</v>
      </c>
      <c r="R304" s="155"/>
      <c r="S304" s="155" t="s">
        <v>999</v>
      </c>
      <c r="T304" s="155" t="s">
        <v>999</v>
      </c>
      <c r="U304" s="155">
        <v>0.02</v>
      </c>
      <c r="V304" s="155">
        <f>ROUND(E304*U304,2)</f>
        <v>0.36</v>
      </c>
      <c r="W304" s="155"/>
      <c r="X304" s="155" t="s">
        <v>146</v>
      </c>
      <c r="Y304" s="155" t="s">
        <v>147</v>
      </c>
      <c r="Z304" s="145"/>
      <c r="AA304" s="145"/>
      <c r="AB304" s="145"/>
      <c r="AC304" s="145"/>
      <c r="AD304" s="145"/>
      <c r="AE304" s="145"/>
      <c r="AF304" s="145"/>
      <c r="AG304" s="145" t="s">
        <v>148</v>
      </c>
      <c r="AH304" s="145"/>
      <c r="AI304" s="145"/>
      <c r="AJ304" s="145"/>
      <c r="AK304" s="145"/>
      <c r="AL304" s="145"/>
      <c r="AM304" s="145"/>
      <c r="AN304" s="145"/>
      <c r="AO304" s="145"/>
      <c r="AP304" s="145"/>
      <c r="AQ304" s="145"/>
      <c r="AR304" s="145"/>
      <c r="AS304" s="145"/>
      <c r="AT304" s="145"/>
      <c r="AU304" s="145"/>
      <c r="AV304" s="145"/>
      <c r="AW304" s="145"/>
      <c r="AX304" s="145"/>
      <c r="AY304" s="145"/>
      <c r="AZ304" s="145"/>
      <c r="BA304" s="145"/>
      <c r="BB304" s="145"/>
      <c r="BC304" s="145"/>
      <c r="BD304" s="145"/>
      <c r="BE304" s="145"/>
      <c r="BF304" s="145"/>
      <c r="BG304" s="145"/>
      <c r="BH304" s="145"/>
    </row>
    <row r="305" spans="1:60" outlineLevel="1" x14ac:dyDescent="0.25">
      <c r="A305" s="172">
        <v>123</v>
      </c>
      <c r="B305" s="173" t="s">
        <v>523</v>
      </c>
      <c r="C305" s="179" t="s">
        <v>524</v>
      </c>
      <c r="D305" s="174" t="s">
        <v>197</v>
      </c>
      <c r="E305" s="175">
        <v>18.12</v>
      </c>
      <c r="F305" s="176"/>
      <c r="G305" s="177">
        <f>ROUND(E305*F305,2)</f>
        <v>0</v>
      </c>
      <c r="H305" s="156">
        <v>25.08</v>
      </c>
      <c r="I305" s="155">
        <f>ROUND(E305*H305,2)</f>
        <v>454.45</v>
      </c>
      <c r="J305" s="156">
        <v>27.22</v>
      </c>
      <c r="K305" s="155">
        <f>ROUND(E305*J305,2)</f>
        <v>493.23</v>
      </c>
      <c r="L305" s="155">
        <v>21</v>
      </c>
      <c r="M305" s="155">
        <f>G305*(1+L305/100)</f>
        <v>0</v>
      </c>
      <c r="N305" s="154">
        <v>2.1000000000000001E-4</v>
      </c>
      <c r="O305" s="154">
        <f>ROUND(E305*N305,2)</f>
        <v>0</v>
      </c>
      <c r="P305" s="154">
        <v>0</v>
      </c>
      <c r="Q305" s="154">
        <f>ROUND(E305*P305,2)</f>
        <v>0</v>
      </c>
      <c r="R305" s="155"/>
      <c r="S305" s="155" t="s">
        <v>999</v>
      </c>
      <c r="T305" s="155" t="s">
        <v>999</v>
      </c>
      <c r="U305" s="155">
        <v>0.05</v>
      </c>
      <c r="V305" s="155">
        <f>ROUND(E305*U305,2)</f>
        <v>0.91</v>
      </c>
      <c r="W305" s="155"/>
      <c r="X305" s="155" t="s">
        <v>146</v>
      </c>
      <c r="Y305" s="155" t="s">
        <v>147</v>
      </c>
      <c r="Z305" s="145"/>
      <c r="AA305" s="145"/>
      <c r="AB305" s="145"/>
      <c r="AC305" s="145"/>
      <c r="AD305" s="145"/>
      <c r="AE305" s="145"/>
      <c r="AF305" s="145"/>
      <c r="AG305" s="145" t="s">
        <v>148</v>
      </c>
      <c r="AH305" s="145"/>
      <c r="AI305" s="145"/>
      <c r="AJ305" s="145"/>
      <c r="AK305" s="145"/>
      <c r="AL305" s="145"/>
      <c r="AM305" s="145"/>
      <c r="AN305" s="145"/>
      <c r="AO305" s="145"/>
      <c r="AP305" s="145"/>
      <c r="AQ305" s="145"/>
      <c r="AR305" s="145"/>
      <c r="AS305" s="145"/>
      <c r="AT305" s="145"/>
      <c r="AU305" s="145"/>
      <c r="AV305" s="145"/>
      <c r="AW305" s="145"/>
      <c r="AX305" s="145"/>
      <c r="AY305" s="145"/>
      <c r="AZ305" s="145"/>
      <c r="BA305" s="145"/>
      <c r="BB305" s="145"/>
      <c r="BC305" s="145"/>
      <c r="BD305" s="145"/>
      <c r="BE305" s="145"/>
      <c r="BF305" s="145"/>
      <c r="BG305" s="145"/>
      <c r="BH305" s="145"/>
    </row>
    <row r="306" spans="1:60" outlineLevel="1" x14ac:dyDescent="0.25">
      <c r="A306" s="172">
        <v>124</v>
      </c>
      <c r="B306" s="173" t="s">
        <v>525</v>
      </c>
      <c r="C306" s="179" t="s">
        <v>526</v>
      </c>
      <c r="D306" s="174" t="s">
        <v>197</v>
      </c>
      <c r="E306" s="175">
        <v>18.12</v>
      </c>
      <c r="F306" s="176"/>
      <c r="G306" s="177">
        <f>ROUND(E306*F306,2)</f>
        <v>0</v>
      </c>
      <c r="H306" s="156">
        <v>158.19999999999999</v>
      </c>
      <c r="I306" s="155">
        <f>ROUND(E306*H306,2)</f>
        <v>2866.58</v>
      </c>
      <c r="J306" s="156">
        <v>532.79999999999995</v>
      </c>
      <c r="K306" s="155">
        <f>ROUND(E306*J306,2)</f>
        <v>9654.34</v>
      </c>
      <c r="L306" s="155">
        <v>21</v>
      </c>
      <c r="M306" s="155">
        <f>G306*(1+L306/100)</f>
        <v>0</v>
      </c>
      <c r="N306" s="154">
        <v>5.0400000000000002E-3</v>
      </c>
      <c r="O306" s="154">
        <f>ROUND(E306*N306,2)</f>
        <v>0.09</v>
      </c>
      <c r="P306" s="154">
        <v>0</v>
      </c>
      <c r="Q306" s="154">
        <f>ROUND(E306*P306,2)</f>
        <v>0</v>
      </c>
      <c r="R306" s="155"/>
      <c r="S306" s="155" t="s">
        <v>999</v>
      </c>
      <c r="T306" s="155" t="s">
        <v>999</v>
      </c>
      <c r="U306" s="155">
        <v>0.98</v>
      </c>
      <c r="V306" s="155">
        <f>ROUND(E306*U306,2)</f>
        <v>17.760000000000002</v>
      </c>
      <c r="W306" s="155"/>
      <c r="X306" s="155" t="s">
        <v>146</v>
      </c>
      <c r="Y306" s="155" t="s">
        <v>147</v>
      </c>
      <c r="Z306" s="145"/>
      <c r="AA306" s="145"/>
      <c r="AB306" s="145"/>
      <c r="AC306" s="145"/>
      <c r="AD306" s="145"/>
      <c r="AE306" s="145"/>
      <c r="AF306" s="145"/>
      <c r="AG306" s="145" t="s">
        <v>148</v>
      </c>
      <c r="AH306" s="145"/>
      <c r="AI306" s="145"/>
      <c r="AJ306" s="145"/>
      <c r="AK306" s="145"/>
      <c r="AL306" s="145"/>
      <c r="AM306" s="145"/>
      <c r="AN306" s="145"/>
      <c r="AO306" s="145"/>
      <c r="AP306" s="145"/>
      <c r="AQ306" s="145"/>
      <c r="AR306" s="145"/>
      <c r="AS306" s="145"/>
      <c r="AT306" s="145"/>
      <c r="AU306" s="145"/>
      <c r="AV306" s="145"/>
      <c r="AW306" s="145"/>
      <c r="AX306" s="145"/>
      <c r="AY306" s="145"/>
      <c r="AZ306" s="145"/>
      <c r="BA306" s="145"/>
      <c r="BB306" s="145"/>
      <c r="BC306" s="145"/>
      <c r="BD306" s="145"/>
      <c r="BE306" s="145"/>
      <c r="BF306" s="145"/>
      <c r="BG306" s="145"/>
      <c r="BH306" s="145"/>
    </row>
    <row r="307" spans="1:60" ht="30.6" outlineLevel="1" x14ac:dyDescent="0.25">
      <c r="A307" s="166">
        <v>125</v>
      </c>
      <c r="B307" s="167" t="s">
        <v>527</v>
      </c>
      <c r="C307" s="180" t="s">
        <v>528</v>
      </c>
      <c r="D307" s="168" t="s">
        <v>197</v>
      </c>
      <c r="E307" s="169">
        <v>21.945</v>
      </c>
      <c r="F307" s="170"/>
      <c r="G307" s="171">
        <f>ROUND(E307*F307,2)</f>
        <v>0</v>
      </c>
      <c r="H307" s="156">
        <v>797.23</v>
      </c>
      <c r="I307" s="155">
        <f>ROUND(E307*H307,2)</f>
        <v>17495.21</v>
      </c>
      <c r="J307" s="156">
        <v>0</v>
      </c>
      <c r="K307" s="155">
        <f>ROUND(E307*J307,2)</f>
        <v>0</v>
      </c>
      <c r="L307" s="155">
        <v>21</v>
      </c>
      <c r="M307" s="155">
        <f>G307*(1+L307/100)</f>
        <v>0</v>
      </c>
      <c r="N307" s="154">
        <v>1.9199999999999998E-2</v>
      </c>
      <c r="O307" s="154">
        <f>ROUND(E307*N307,2)</f>
        <v>0.42</v>
      </c>
      <c r="P307" s="154">
        <v>0</v>
      </c>
      <c r="Q307" s="154">
        <f>ROUND(E307*P307,2)</f>
        <v>0</v>
      </c>
      <c r="R307" s="155"/>
      <c r="S307" s="155" t="s">
        <v>144</v>
      </c>
      <c r="T307" s="155" t="s">
        <v>145</v>
      </c>
      <c r="U307" s="155">
        <v>0</v>
      </c>
      <c r="V307" s="155">
        <f>ROUND(E307*U307,2)</f>
        <v>0</v>
      </c>
      <c r="W307" s="155"/>
      <c r="X307" s="155" t="s">
        <v>261</v>
      </c>
      <c r="Y307" s="155" t="s">
        <v>147</v>
      </c>
      <c r="Z307" s="145"/>
      <c r="AA307" s="145"/>
      <c r="AB307" s="145"/>
      <c r="AC307" s="145"/>
      <c r="AD307" s="145"/>
      <c r="AE307" s="145"/>
      <c r="AF307" s="145"/>
      <c r="AG307" s="145" t="s">
        <v>262</v>
      </c>
      <c r="AH307" s="145"/>
      <c r="AI307" s="145"/>
      <c r="AJ307" s="145"/>
      <c r="AK307" s="145"/>
      <c r="AL307" s="145"/>
      <c r="AM307" s="145"/>
      <c r="AN307" s="145"/>
      <c r="AO307" s="145"/>
      <c r="AP307" s="145"/>
      <c r="AQ307" s="145"/>
      <c r="AR307" s="145"/>
      <c r="AS307" s="145"/>
      <c r="AT307" s="145"/>
      <c r="AU307" s="145"/>
      <c r="AV307" s="145"/>
      <c r="AW307" s="145"/>
      <c r="AX307" s="145"/>
      <c r="AY307" s="145"/>
      <c r="AZ307" s="145"/>
      <c r="BA307" s="145"/>
      <c r="BB307" s="145"/>
      <c r="BC307" s="145"/>
      <c r="BD307" s="145"/>
      <c r="BE307" s="145"/>
      <c r="BF307" s="145"/>
      <c r="BG307" s="145"/>
      <c r="BH307" s="145"/>
    </row>
    <row r="308" spans="1:60" outlineLevel="2" x14ac:dyDescent="0.25">
      <c r="A308" s="152"/>
      <c r="B308" s="153"/>
      <c r="C308" s="187" t="s">
        <v>368</v>
      </c>
      <c r="D308" s="184"/>
      <c r="E308" s="185">
        <v>19.931999999999999</v>
      </c>
      <c r="F308" s="155"/>
      <c r="G308" s="155"/>
      <c r="H308" s="155"/>
      <c r="I308" s="155"/>
      <c r="J308" s="155"/>
      <c r="K308" s="155"/>
      <c r="L308" s="155"/>
      <c r="M308" s="155"/>
      <c r="N308" s="154"/>
      <c r="O308" s="154"/>
      <c r="P308" s="154"/>
      <c r="Q308" s="154"/>
      <c r="R308" s="155"/>
      <c r="S308" s="155"/>
      <c r="T308" s="155"/>
      <c r="U308" s="155"/>
      <c r="V308" s="155"/>
      <c r="W308" s="155"/>
      <c r="X308" s="155"/>
      <c r="Y308" s="155"/>
      <c r="Z308" s="145"/>
      <c r="AA308" s="145"/>
      <c r="AB308" s="145"/>
      <c r="AC308" s="145"/>
      <c r="AD308" s="145"/>
      <c r="AE308" s="145"/>
      <c r="AF308" s="145"/>
      <c r="AG308" s="145" t="s">
        <v>198</v>
      </c>
      <c r="AH308" s="145">
        <v>0</v>
      </c>
      <c r="AI308" s="145"/>
      <c r="AJ308" s="145"/>
      <c r="AK308" s="145"/>
      <c r="AL308" s="145"/>
      <c r="AM308" s="145"/>
      <c r="AN308" s="145"/>
      <c r="AO308" s="145"/>
      <c r="AP308" s="145"/>
      <c r="AQ308" s="145"/>
      <c r="AR308" s="145"/>
      <c r="AS308" s="145"/>
      <c r="AT308" s="145"/>
      <c r="AU308" s="145"/>
      <c r="AV308" s="145"/>
      <c r="AW308" s="145"/>
      <c r="AX308" s="145"/>
      <c r="AY308" s="145"/>
      <c r="AZ308" s="145"/>
      <c r="BA308" s="145"/>
      <c r="BB308" s="145"/>
      <c r="BC308" s="145"/>
      <c r="BD308" s="145"/>
      <c r="BE308" s="145"/>
      <c r="BF308" s="145"/>
      <c r="BG308" s="145"/>
      <c r="BH308" s="145"/>
    </row>
    <row r="309" spans="1:60" outlineLevel="3" x14ac:dyDescent="0.25">
      <c r="A309" s="152"/>
      <c r="B309" s="153"/>
      <c r="C309" s="187" t="s">
        <v>529</v>
      </c>
      <c r="D309" s="184"/>
      <c r="E309" s="185">
        <v>2.0129999999999999</v>
      </c>
      <c r="F309" s="155"/>
      <c r="G309" s="155"/>
      <c r="H309" s="155"/>
      <c r="I309" s="155"/>
      <c r="J309" s="155"/>
      <c r="K309" s="155"/>
      <c r="L309" s="155"/>
      <c r="M309" s="155"/>
      <c r="N309" s="154"/>
      <c r="O309" s="154"/>
      <c r="P309" s="154"/>
      <c r="Q309" s="154"/>
      <c r="R309" s="155"/>
      <c r="S309" s="155"/>
      <c r="T309" s="155"/>
      <c r="U309" s="155"/>
      <c r="V309" s="155"/>
      <c r="W309" s="155"/>
      <c r="X309" s="155"/>
      <c r="Y309" s="155"/>
      <c r="Z309" s="145"/>
      <c r="AA309" s="145"/>
      <c r="AB309" s="145"/>
      <c r="AC309" s="145"/>
      <c r="AD309" s="145"/>
      <c r="AE309" s="145"/>
      <c r="AF309" s="145"/>
      <c r="AG309" s="145" t="s">
        <v>198</v>
      </c>
      <c r="AH309" s="145">
        <v>0</v>
      </c>
      <c r="AI309" s="145"/>
      <c r="AJ309" s="145"/>
      <c r="AK309" s="145"/>
      <c r="AL309" s="145"/>
      <c r="AM309" s="145"/>
      <c r="AN309" s="145"/>
      <c r="AO309" s="145"/>
      <c r="AP309" s="145"/>
      <c r="AQ309" s="145"/>
      <c r="AR309" s="145"/>
      <c r="AS309" s="145"/>
      <c r="AT309" s="145"/>
      <c r="AU309" s="145"/>
      <c r="AV309" s="145"/>
      <c r="AW309" s="145"/>
      <c r="AX309" s="145"/>
      <c r="AY309" s="145"/>
      <c r="AZ309" s="145"/>
      <c r="BA309" s="145"/>
      <c r="BB309" s="145"/>
      <c r="BC309" s="145"/>
      <c r="BD309" s="145"/>
      <c r="BE309" s="145"/>
      <c r="BF309" s="145"/>
      <c r="BG309" s="145"/>
      <c r="BH309" s="145"/>
    </row>
    <row r="310" spans="1:60" outlineLevel="1" x14ac:dyDescent="0.25">
      <c r="A310" s="172">
        <v>126</v>
      </c>
      <c r="B310" s="173" t="s">
        <v>530</v>
      </c>
      <c r="C310" s="179" t="s">
        <v>531</v>
      </c>
      <c r="D310" s="174" t="s">
        <v>192</v>
      </c>
      <c r="E310" s="175">
        <v>18.3</v>
      </c>
      <c r="F310" s="176"/>
      <c r="G310" s="177">
        <f>ROUND(E310*F310,2)</f>
        <v>0</v>
      </c>
      <c r="H310" s="156">
        <v>5.42</v>
      </c>
      <c r="I310" s="155">
        <f>ROUND(E310*H310,2)</f>
        <v>99.19</v>
      </c>
      <c r="J310" s="156">
        <v>96.58</v>
      </c>
      <c r="K310" s="155">
        <f>ROUND(E310*J310,2)</f>
        <v>1767.41</v>
      </c>
      <c r="L310" s="155">
        <v>21</v>
      </c>
      <c r="M310" s="155">
        <f>G310*(1+L310/100)</f>
        <v>0</v>
      </c>
      <c r="N310" s="154">
        <v>0</v>
      </c>
      <c r="O310" s="154">
        <f>ROUND(E310*N310,2)</f>
        <v>0</v>
      </c>
      <c r="P310" s="154">
        <v>0</v>
      </c>
      <c r="Q310" s="154">
        <f>ROUND(E310*P310,2)</f>
        <v>0</v>
      </c>
      <c r="R310" s="155"/>
      <c r="S310" s="155" t="s">
        <v>999</v>
      </c>
      <c r="T310" s="155" t="s">
        <v>999</v>
      </c>
      <c r="U310" s="155">
        <v>0.15</v>
      </c>
      <c r="V310" s="155">
        <f>ROUND(E310*U310,2)</f>
        <v>2.75</v>
      </c>
      <c r="W310" s="155"/>
      <c r="X310" s="155" t="s">
        <v>146</v>
      </c>
      <c r="Y310" s="155" t="s">
        <v>147</v>
      </c>
      <c r="Z310" s="145"/>
      <c r="AA310" s="145"/>
      <c r="AB310" s="145"/>
      <c r="AC310" s="145"/>
      <c r="AD310" s="145"/>
      <c r="AE310" s="145"/>
      <c r="AF310" s="145"/>
      <c r="AG310" s="145" t="s">
        <v>148</v>
      </c>
      <c r="AH310" s="145"/>
      <c r="AI310" s="145"/>
      <c r="AJ310" s="145"/>
      <c r="AK310" s="145"/>
      <c r="AL310" s="145"/>
      <c r="AM310" s="145"/>
      <c r="AN310" s="145"/>
      <c r="AO310" s="145"/>
      <c r="AP310" s="145"/>
      <c r="AQ310" s="145"/>
      <c r="AR310" s="145"/>
      <c r="AS310" s="145"/>
      <c r="AT310" s="145"/>
      <c r="AU310" s="145"/>
      <c r="AV310" s="145"/>
      <c r="AW310" s="145"/>
      <c r="AX310" s="145"/>
      <c r="AY310" s="145"/>
      <c r="AZ310" s="145"/>
      <c r="BA310" s="145"/>
      <c r="BB310" s="145"/>
      <c r="BC310" s="145"/>
      <c r="BD310" s="145"/>
      <c r="BE310" s="145"/>
      <c r="BF310" s="145"/>
      <c r="BG310" s="145"/>
      <c r="BH310" s="145"/>
    </row>
    <row r="311" spans="1:60" outlineLevel="1" x14ac:dyDescent="0.25">
      <c r="A311" s="166">
        <v>127</v>
      </c>
      <c r="B311" s="167" t="s">
        <v>532</v>
      </c>
      <c r="C311" s="180" t="s">
        <v>533</v>
      </c>
      <c r="D311" s="168" t="s">
        <v>192</v>
      </c>
      <c r="E311" s="169">
        <v>18.3</v>
      </c>
      <c r="F311" s="170"/>
      <c r="G311" s="171">
        <f>ROUND(E311*F311,2)</f>
        <v>0</v>
      </c>
      <c r="H311" s="156">
        <v>14.73</v>
      </c>
      <c r="I311" s="155">
        <f>ROUND(E311*H311,2)</f>
        <v>269.56</v>
      </c>
      <c r="J311" s="156">
        <v>128.77000000000001</v>
      </c>
      <c r="K311" s="155">
        <f>ROUND(E311*J311,2)</f>
        <v>2356.4899999999998</v>
      </c>
      <c r="L311" s="155">
        <v>21</v>
      </c>
      <c r="M311" s="155">
        <f>G311*(1+L311/100)</f>
        <v>0</v>
      </c>
      <c r="N311" s="154">
        <v>3.2000000000000003E-4</v>
      </c>
      <c r="O311" s="154">
        <f>ROUND(E311*N311,2)</f>
        <v>0.01</v>
      </c>
      <c r="P311" s="154">
        <v>0</v>
      </c>
      <c r="Q311" s="154">
        <f>ROUND(E311*P311,2)</f>
        <v>0</v>
      </c>
      <c r="R311" s="155"/>
      <c r="S311" s="155" t="s">
        <v>999</v>
      </c>
      <c r="T311" s="155" t="s">
        <v>999</v>
      </c>
      <c r="U311" s="155">
        <v>0.24</v>
      </c>
      <c r="V311" s="155">
        <f>ROUND(E311*U311,2)</f>
        <v>4.3899999999999997</v>
      </c>
      <c r="W311" s="155"/>
      <c r="X311" s="155" t="s">
        <v>146</v>
      </c>
      <c r="Y311" s="155" t="s">
        <v>147</v>
      </c>
      <c r="Z311" s="145"/>
      <c r="AA311" s="145"/>
      <c r="AB311" s="145"/>
      <c r="AC311" s="145"/>
      <c r="AD311" s="145"/>
      <c r="AE311" s="145"/>
      <c r="AF311" s="145"/>
      <c r="AG311" s="145" t="s">
        <v>148</v>
      </c>
      <c r="AH311" s="145"/>
      <c r="AI311" s="145"/>
      <c r="AJ311" s="145"/>
      <c r="AK311" s="145"/>
      <c r="AL311" s="145"/>
      <c r="AM311" s="145"/>
      <c r="AN311" s="145"/>
      <c r="AO311" s="145"/>
      <c r="AP311" s="145"/>
      <c r="AQ311" s="145"/>
      <c r="AR311" s="145"/>
      <c r="AS311" s="145"/>
      <c r="AT311" s="145"/>
      <c r="AU311" s="145"/>
      <c r="AV311" s="145"/>
      <c r="AW311" s="145"/>
      <c r="AX311" s="145"/>
      <c r="AY311" s="145"/>
      <c r="AZ311" s="145"/>
      <c r="BA311" s="145"/>
      <c r="BB311" s="145"/>
      <c r="BC311" s="145"/>
      <c r="BD311" s="145"/>
      <c r="BE311" s="145"/>
      <c r="BF311" s="145"/>
      <c r="BG311" s="145"/>
      <c r="BH311" s="145"/>
    </row>
    <row r="312" spans="1:60" outlineLevel="2" x14ac:dyDescent="0.25">
      <c r="A312" s="152"/>
      <c r="B312" s="153"/>
      <c r="C312" s="187" t="s">
        <v>534</v>
      </c>
      <c r="D312" s="184"/>
      <c r="E312" s="185">
        <v>4.7</v>
      </c>
      <c r="F312" s="155"/>
      <c r="G312" s="155"/>
      <c r="H312" s="155"/>
      <c r="I312" s="155"/>
      <c r="J312" s="155"/>
      <c r="K312" s="155"/>
      <c r="L312" s="155"/>
      <c r="M312" s="155"/>
      <c r="N312" s="154"/>
      <c r="O312" s="154"/>
      <c r="P312" s="154"/>
      <c r="Q312" s="154"/>
      <c r="R312" s="155"/>
      <c r="S312" s="155"/>
      <c r="T312" s="155"/>
      <c r="U312" s="155"/>
      <c r="V312" s="155"/>
      <c r="W312" s="155"/>
      <c r="X312" s="155"/>
      <c r="Y312" s="155"/>
      <c r="Z312" s="145"/>
      <c r="AA312" s="145"/>
      <c r="AB312" s="145"/>
      <c r="AC312" s="145"/>
      <c r="AD312" s="145"/>
      <c r="AE312" s="145"/>
      <c r="AF312" s="145"/>
      <c r="AG312" s="145" t="s">
        <v>198</v>
      </c>
      <c r="AH312" s="145">
        <v>0</v>
      </c>
      <c r="AI312" s="145"/>
      <c r="AJ312" s="145"/>
      <c r="AK312" s="145"/>
      <c r="AL312" s="145"/>
      <c r="AM312" s="145"/>
      <c r="AN312" s="145"/>
      <c r="AO312" s="145"/>
      <c r="AP312" s="145"/>
      <c r="AQ312" s="145"/>
      <c r="AR312" s="145"/>
      <c r="AS312" s="145"/>
      <c r="AT312" s="145"/>
      <c r="AU312" s="145"/>
      <c r="AV312" s="145"/>
      <c r="AW312" s="145"/>
      <c r="AX312" s="145"/>
      <c r="AY312" s="145"/>
      <c r="AZ312" s="145"/>
      <c r="BA312" s="145"/>
      <c r="BB312" s="145"/>
      <c r="BC312" s="145"/>
      <c r="BD312" s="145"/>
      <c r="BE312" s="145"/>
      <c r="BF312" s="145"/>
      <c r="BG312" s="145"/>
      <c r="BH312" s="145"/>
    </row>
    <row r="313" spans="1:60" outlineLevel="3" x14ac:dyDescent="0.25">
      <c r="A313" s="152"/>
      <c r="B313" s="153"/>
      <c r="C313" s="187" t="s">
        <v>535</v>
      </c>
      <c r="D313" s="184"/>
      <c r="E313" s="185">
        <v>13.6</v>
      </c>
      <c r="F313" s="155"/>
      <c r="G313" s="155"/>
      <c r="H313" s="155"/>
      <c r="I313" s="155"/>
      <c r="J313" s="155"/>
      <c r="K313" s="155"/>
      <c r="L313" s="155"/>
      <c r="M313" s="155"/>
      <c r="N313" s="154"/>
      <c r="O313" s="154"/>
      <c r="P313" s="154"/>
      <c r="Q313" s="154"/>
      <c r="R313" s="155"/>
      <c r="S313" s="155"/>
      <c r="T313" s="155"/>
      <c r="U313" s="155"/>
      <c r="V313" s="155"/>
      <c r="W313" s="155"/>
      <c r="X313" s="155"/>
      <c r="Y313" s="155"/>
      <c r="Z313" s="145"/>
      <c r="AA313" s="145"/>
      <c r="AB313" s="145"/>
      <c r="AC313" s="145"/>
      <c r="AD313" s="145"/>
      <c r="AE313" s="145"/>
      <c r="AF313" s="145"/>
      <c r="AG313" s="145" t="s">
        <v>198</v>
      </c>
      <c r="AH313" s="145">
        <v>0</v>
      </c>
      <c r="AI313" s="145"/>
      <c r="AJ313" s="145"/>
      <c r="AK313" s="145"/>
      <c r="AL313" s="145"/>
      <c r="AM313" s="145"/>
      <c r="AN313" s="145"/>
      <c r="AO313" s="145"/>
      <c r="AP313" s="145"/>
      <c r="AQ313" s="145"/>
      <c r="AR313" s="145"/>
      <c r="AS313" s="145"/>
      <c r="AT313" s="145"/>
      <c r="AU313" s="145"/>
      <c r="AV313" s="145"/>
      <c r="AW313" s="145"/>
      <c r="AX313" s="145"/>
      <c r="AY313" s="145"/>
      <c r="AZ313" s="145"/>
      <c r="BA313" s="145"/>
      <c r="BB313" s="145"/>
      <c r="BC313" s="145"/>
      <c r="BD313" s="145"/>
      <c r="BE313" s="145"/>
      <c r="BF313" s="145"/>
      <c r="BG313" s="145"/>
      <c r="BH313" s="145"/>
    </row>
    <row r="314" spans="1:60" ht="20.399999999999999" outlineLevel="1" x14ac:dyDescent="0.25">
      <c r="A314" s="172">
        <v>128</v>
      </c>
      <c r="B314" s="173" t="s">
        <v>536</v>
      </c>
      <c r="C314" s="179" t="s">
        <v>537</v>
      </c>
      <c r="D314" s="174" t="s">
        <v>197</v>
      </c>
      <c r="E314" s="175">
        <v>18.12</v>
      </c>
      <c r="F314" s="176"/>
      <c r="G314" s="177">
        <f>ROUND(E314*F314,2)</f>
        <v>0</v>
      </c>
      <c r="H314" s="156">
        <v>7.4</v>
      </c>
      <c r="I314" s="155">
        <f>ROUND(E314*H314,2)</f>
        <v>134.09</v>
      </c>
      <c r="J314" s="156">
        <v>0</v>
      </c>
      <c r="K314" s="155">
        <f>ROUND(E314*J314,2)</f>
        <v>0</v>
      </c>
      <c r="L314" s="155">
        <v>21</v>
      </c>
      <c r="M314" s="155">
        <f>G314*(1+L314/100)</f>
        <v>0</v>
      </c>
      <c r="N314" s="154">
        <v>2.9999999999999997E-4</v>
      </c>
      <c r="O314" s="154">
        <f>ROUND(E314*N314,2)</f>
        <v>0.01</v>
      </c>
      <c r="P314" s="154">
        <v>0</v>
      </c>
      <c r="Q314" s="154">
        <f>ROUND(E314*P314,2)</f>
        <v>0</v>
      </c>
      <c r="R314" s="155"/>
      <c r="S314" s="155" t="s">
        <v>999</v>
      </c>
      <c r="T314" s="155" t="s">
        <v>999</v>
      </c>
      <c r="U314" s="155">
        <v>0</v>
      </c>
      <c r="V314" s="155">
        <f>ROUND(E314*U314,2)</f>
        <v>0</v>
      </c>
      <c r="W314" s="155"/>
      <c r="X314" s="155" t="s">
        <v>146</v>
      </c>
      <c r="Y314" s="155" t="s">
        <v>147</v>
      </c>
      <c r="Z314" s="145"/>
      <c r="AA314" s="145"/>
      <c r="AB314" s="145"/>
      <c r="AC314" s="145"/>
      <c r="AD314" s="145"/>
      <c r="AE314" s="145"/>
      <c r="AF314" s="145"/>
      <c r="AG314" s="145" t="s">
        <v>148</v>
      </c>
      <c r="AH314" s="145"/>
      <c r="AI314" s="145"/>
      <c r="AJ314" s="145"/>
      <c r="AK314" s="145"/>
      <c r="AL314" s="145"/>
      <c r="AM314" s="145"/>
      <c r="AN314" s="145"/>
      <c r="AO314" s="145"/>
      <c r="AP314" s="145"/>
      <c r="AQ314" s="145"/>
      <c r="AR314" s="145"/>
      <c r="AS314" s="145"/>
      <c r="AT314" s="145"/>
      <c r="AU314" s="145"/>
      <c r="AV314" s="145"/>
      <c r="AW314" s="145"/>
      <c r="AX314" s="145"/>
      <c r="AY314" s="145"/>
      <c r="AZ314" s="145"/>
      <c r="BA314" s="145"/>
      <c r="BB314" s="145"/>
      <c r="BC314" s="145"/>
      <c r="BD314" s="145"/>
      <c r="BE314" s="145"/>
      <c r="BF314" s="145"/>
      <c r="BG314" s="145"/>
      <c r="BH314" s="145"/>
    </row>
    <row r="315" spans="1:60" outlineLevel="1" x14ac:dyDescent="0.25">
      <c r="A315" s="166">
        <v>129</v>
      </c>
      <c r="B315" s="167" t="s">
        <v>538</v>
      </c>
      <c r="C315" s="180" t="s">
        <v>539</v>
      </c>
      <c r="D315" s="168" t="s">
        <v>228</v>
      </c>
      <c r="E315" s="169">
        <v>0.52776999999999996</v>
      </c>
      <c r="F315" s="170"/>
      <c r="G315" s="171">
        <f>ROUND(E315*F315,2)</f>
        <v>0</v>
      </c>
      <c r="H315" s="156">
        <v>0</v>
      </c>
      <c r="I315" s="155">
        <f>ROUND(E315*H315,2)</f>
        <v>0</v>
      </c>
      <c r="J315" s="156">
        <v>688</v>
      </c>
      <c r="K315" s="155">
        <f>ROUND(E315*J315,2)</f>
        <v>363.11</v>
      </c>
      <c r="L315" s="155">
        <v>21</v>
      </c>
      <c r="M315" s="155">
        <f>G315*(1+L315/100)</f>
        <v>0</v>
      </c>
      <c r="N315" s="154">
        <v>0</v>
      </c>
      <c r="O315" s="154">
        <f>ROUND(E315*N315,2)</f>
        <v>0</v>
      </c>
      <c r="P315" s="154">
        <v>0</v>
      </c>
      <c r="Q315" s="154">
        <f>ROUND(E315*P315,2)</f>
        <v>0</v>
      </c>
      <c r="R315" s="155"/>
      <c r="S315" s="155" t="s">
        <v>999</v>
      </c>
      <c r="T315" s="155" t="s">
        <v>999</v>
      </c>
      <c r="U315" s="155">
        <v>1.6</v>
      </c>
      <c r="V315" s="155">
        <f>ROUND(E315*U315,2)</f>
        <v>0.84</v>
      </c>
      <c r="W315" s="155"/>
      <c r="X315" s="155" t="s">
        <v>146</v>
      </c>
      <c r="Y315" s="155" t="s">
        <v>147</v>
      </c>
      <c r="Z315" s="145"/>
      <c r="AA315" s="145"/>
      <c r="AB315" s="145"/>
      <c r="AC315" s="145"/>
      <c r="AD315" s="145"/>
      <c r="AE315" s="145"/>
      <c r="AF315" s="145"/>
      <c r="AG315" s="145" t="s">
        <v>148</v>
      </c>
      <c r="AH315" s="145"/>
      <c r="AI315" s="145"/>
      <c r="AJ315" s="145"/>
      <c r="AK315" s="145"/>
      <c r="AL315" s="145"/>
      <c r="AM315" s="145"/>
      <c r="AN315" s="145"/>
      <c r="AO315" s="145"/>
      <c r="AP315" s="145"/>
      <c r="AQ315" s="145"/>
      <c r="AR315" s="145"/>
      <c r="AS315" s="145"/>
      <c r="AT315" s="145"/>
      <c r="AU315" s="145"/>
      <c r="AV315" s="145"/>
      <c r="AW315" s="145"/>
      <c r="AX315" s="145"/>
      <c r="AY315" s="145"/>
      <c r="AZ315" s="145"/>
      <c r="BA315" s="145"/>
      <c r="BB315" s="145"/>
      <c r="BC315" s="145"/>
      <c r="BD315" s="145"/>
      <c r="BE315" s="145"/>
      <c r="BF315" s="145"/>
      <c r="BG315" s="145"/>
      <c r="BH315" s="145"/>
    </row>
    <row r="316" spans="1:60" outlineLevel="3" x14ac:dyDescent="0.25">
      <c r="A316" s="152"/>
      <c r="B316" s="153"/>
      <c r="C316" s="187" t="s">
        <v>540</v>
      </c>
      <c r="D316" s="184"/>
      <c r="E316" s="185">
        <v>3.81E-3</v>
      </c>
      <c r="F316" s="155"/>
      <c r="G316" s="155"/>
      <c r="H316" s="155"/>
      <c r="I316" s="155"/>
      <c r="J316" s="155"/>
      <c r="K316" s="155"/>
      <c r="L316" s="155"/>
      <c r="M316" s="155"/>
      <c r="N316" s="154"/>
      <c r="O316" s="154"/>
      <c r="P316" s="154"/>
      <c r="Q316" s="154"/>
      <c r="R316" s="155"/>
      <c r="S316" s="155"/>
      <c r="T316" s="155"/>
      <c r="U316" s="155"/>
      <c r="V316" s="155"/>
      <c r="W316" s="155"/>
      <c r="X316" s="155"/>
      <c r="Y316" s="155"/>
      <c r="Z316" s="145"/>
      <c r="AA316" s="145"/>
      <c r="AB316" s="145"/>
      <c r="AC316" s="145"/>
      <c r="AD316" s="145"/>
      <c r="AE316" s="145"/>
      <c r="AF316" s="145"/>
      <c r="AG316" s="145" t="s">
        <v>198</v>
      </c>
      <c r="AH316" s="145">
        <v>6</v>
      </c>
      <c r="AI316" s="145"/>
      <c r="AJ316" s="145"/>
      <c r="AK316" s="145"/>
      <c r="AL316" s="145"/>
      <c r="AM316" s="145"/>
      <c r="AN316" s="145"/>
      <c r="AO316" s="145"/>
      <c r="AP316" s="145"/>
      <c r="AQ316" s="145"/>
      <c r="AR316" s="145"/>
      <c r="AS316" s="145"/>
      <c r="AT316" s="145"/>
      <c r="AU316" s="145"/>
      <c r="AV316" s="145"/>
      <c r="AW316" s="145"/>
      <c r="AX316" s="145"/>
      <c r="AY316" s="145"/>
      <c r="AZ316" s="145"/>
      <c r="BA316" s="145"/>
      <c r="BB316" s="145"/>
      <c r="BC316" s="145"/>
      <c r="BD316" s="145"/>
      <c r="BE316" s="145"/>
      <c r="BF316" s="145"/>
      <c r="BG316" s="145"/>
      <c r="BH316" s="145"/>
    </row>
    <row r="317" spans="1:60" outlineLevel="3" x14ac:dyDescent="0.25">
      <c r="A317" s="152"/>
      <c r="B317" s="153"/>
      <c r="C317" s="187" t="s">
        <v>541</v>
      </c>
      <c r="D317" s="184"/>
      <c r="E317" s="185">
        <v>9.1319999999999998E-2</v>
      </c>
      <c r="F317" s="155"/>
      <c r="G317" s="155"/>
      <c r="H317" s="155"/>
      <c r="I317" s="155"/>
      <c r="J317" s="155"/>
      <c r="K317" s="155"/>
      <c r="L317" s="155"/>
      <c r="M317" s="155"/>
      <c r="N317" s="154"/>
      <c r="O317" s="154"/>
      <c r="P317" s="154"/>
      <c r="Q317" s="154"/>
      <c r="R317" s="155"/>
      <c r="S317" s="155"/>
      <c r="T317" s="155"/>
      <c r="U317" s="155"/>
      <c r="V317" s="155"/>
      <c r="W317" s="155"/>
      <c r="X317" s="155"/>
      <c r="Y317" s="155"/>
      <c r="Z317" s="145"/>
      <c r="AA317" s="145"/>
      <c r="AB317" s="145"/>
      <c r="AC317" s="145"/>
      <c r="AD317" s="145"/>
      <c r="AE317" s="145"/>
      <c r="AF317" s="145"/>
      <c r="AG317" s="145" t="s">
        <v>198</v>
      </c>
      <c r="AH317" s="145">
        <v>6</v>
      </c>
      <c r="AI317" s="145"/>
      <c r="AJ317" s="145"/>
      <c r="AK317" s="145"/>
      <c r="AL317" s="145"/>
      <c r="AM317" s="145"/>
      <c r="AN317" s="145"/>
      <c r="AO317" s="145"/>
      <c r="AP317" s="145"/>
      <c r="AQ317" s="145"/>
      <c r="AR317" s="145"/>
      <c r="AS317" s="145"/>
      <c r="AT317" s="145"/>
      <c r="AU317" s="145"/>
      <c r="AV317" s="145"/>
      <c r="AW317" s="145"/>
      <c r="AX317" s="145"/>
      <c r="AY317" s="145"/>
      <c r="AZ317" s="145"/>
      <c r="BA317" s="145"/>
      <c r="BB317" s="145"/>
      <c r="BC317" s="145"/>
      <c r="BD317" s="145"/>
      <c r="BE317" s="145"/>
      <c r="BF317" s="145"/>
      <c r="BG317" s="145"/>
      <c r="BH317" s="145"/>
    </row>
    <row r="318" spans="1:60" outlineLevel="3" x14ac:dyDescent="0.25">
      <c r="A318" s="152"/>
      <c r="B318" s="153"/>
      <c r="C318" s="187" t="s">
        <v>542</v>
      </c>
      <c r="D318" s="184"/>
      <c r="E318" s="185">
        <v>0.42133999999999999</v>
      </c>
      <c r="F318" s="155"/>
      <c r="G318" s="155"/>
      <c r="H318" s="155"/>
      <c r="I318" s="155"/>
      <c r="J318" s="155"/>
      <c r="K318" s="155"/>
      <c r="L318" s="155"/>
      <c r="M318" s="155"/>
      <c r="N318" s="154"/>
      <c r="O318" s="154"/>
      <c r="P318" s="154"/>
      <c r="Q318" s="154"/>
      <c r="R318" s="155"/>
      <c r="S318" s="155"/>
      <c r="T318" s="155"/>
      <c r="U318" s="155"/>
      <c r="V318" s="155"/>
      <c r="W318" s="155"/>
      <c r="X318" s="155"/>
      <c r="Y318" s="155"/>
      <c r="Z318" s="145"/>
      <c r="AA318" s="145"/>
      <c r="AB318" s="145"/>
      <c r="AC318" s="145"/>
      <c r="AD318" s="145"/>
      <c r="AE318" s="145"/>
      <c r="AF318" s="145"/>
      <c r="AG318" s="145" t="s">
        <v>198</v>
      </c>
      <c r="AH318" s="145">
        <v>6</v>
      </c>
      <c r="AI318" s="145"/>
      <c r="AJ318" s="145"/>
      <c r="AK318" s="145"/>
      <c r="AL318" s="145"/>
      <c r="AM318" s="145"/>
      <c r="AN318" s="145"/>
      <c r="AO318" s="145"/>
      <c r="AP318" s="145"/>
      <c r="AQ318" s="145"/>
      <c r="AR318" s="145"/>
      <c r="AS318" s="145"/>
      <c r="AT318" s="145"/>
      <c r="AU318" s="145"/>
      <c r="AV318" s="145"/>
      <c r="AW318" s="145"/>
      <c r="AX318" s="145"/>
      <c r="AY318" s="145"/>
      <c r="AZ318" s="145"/>
      <c r="BA318" s="145"/>
      <c r="BB318" s="145"/>
      <c r="BC318" s="145"/>
      <c r="BD318" s="145"/>
      <c r="BE318" s="145"/>
      <c r="BF318" s="145"/>
      <c r="BG318" s="145"/>
      <c r="BH318" s="145"/>
    </row>
    <row r="319" spans="1:60" outlineLevel="3" x14ac:dyDescent="0.25">
      <c r="A319" s="152"/>
      <c r="B319" s="153"/>
      <c r="C319" s="187" t="s">
        <v>543</v>
      </c>
      <c r="D319" s="184"/>
      <c r="E319" s="185">
        <v>5.8599999999999998E-3</v>
      </c>
      <c r="F319" s="155"/>
      <c r="G319" s="155"/>
      <c r="H319" s="155"/>
      <c r="I319" s="155"/>
      <c r="J319" s="155"/>
      <c r="K319" s="155"/>
      <c r="L319" s="155"/>
      <c r="M319" s="155"/>
      <c r="N319" s="154"/>
      <c r="O319" s="154"/>
      <c r="P319" s="154"/>
      <c r="Q319" s="154"/>
      <c r="R319" s="155"/>
      <c r="S319" s="155"/>
      <c r="T319" s="155"/>
      <c r="U319" s="155"/>
      <c r="V319" s="155"/>
      <c r="W319" s="155"/>
      <c r="X319" s="155"/>
      <c r="Y319" s="155"/>
      <c r="Z319" s="145"/>
      <c r="AA319" s="145"/>
      <c r="AB319" s="145"/>
      <c r="AC319" s="145"/>
      <c r="AD319" s="145"/>
      <c r="AE319" s="145"/>
      <c r="AF319" s="145"/>
      <c r="AG319" s="145" t="s">
        <v>198</v>
      </c>
      <c r="AH319" s="145">
        <v>6</v>
      </c>
      <c r="AI319" s="145"/>
      <c r="AJ319" s="145"/>
      <c r="AK319" s="145"/>
      <c r="AL319" s="145"/>
      <c r="AM319" s="145"/>
      <c r="AN319" s="145"/>
      <c r="AO319" s="145"/>
      <c r="AP319" s="145"/>
      <c r="AQ319" s="145"/>
      <c r="AR319" s="145"/>
      <c r="AS319" s="145"/>
      <c r="AT319" s="145"/>
      <c r="AU319" s="145"/>
      <c r="AV319" s="145"/>
      <c r="AW319" s="145"/>
      <c r="AX319" s="145"/>
      <c r="AY319" s="145"/>
      <c r="AZ319" s="145"/>
      <c r="BA319" s="145"/>
      <c r="BB319" s="145"/>
      <c r="BC319" s="145"/>
      <c r="BD319" s="145"/>
      <c r="BE319" s="145"/>
      <c r="BF319" s="145"/>
      <c r="BG319" s="145"/>
      <c r="BH319" s="145"/>
    </row>
    <row r="320" spans="1:60" outlineLevel="3" x14ac:dyDescent="0.25">
      <c r="A320" s="152"/>
      <c r="B320" s="153"/>
      <c r="C320" s="187" t="s">
        <v>544</v>
      </c>
      <c r="D320" s="184"/>
      <c r="E320" s="185">
        <v>5.4400000000000004E-3</v>
      </c>
      <c r="F320" s="155"/>
      <c r="G320" s="155"/>
      <c r="H320" s="155"/>
      <c r="I320" s="155"/>
      <c r="J320" s="155"/>
      <c r="K320" s="155"/>
      <c r="L320" s="155"/>
      <c r="M320" s="155"/>
      <c r="N320" s="154"/>
      <c r="O320" s="154"/>
      <c r="P320" s="154"/>
      <c r="Q320" s="154"/>
      <c r="R320" s="155"/>
      <c r="S320" s="155"/>
      <c r="T320" s="155"/>
      <c r="U320" s="155"/>
      <c r="V320" s="155"/>
      <c r="W320" s="155"/>
      <c r="X320" s="155"/>
      <c r="Y320" s="155"/>
      <c r="Z320" s="145"/>
      <c r="AA320" s="145"/>
      <c r="AB320" s="145"/>
      <c r="AC320" s="145"/>
      <c r="AD320" s="145"/>
      <c r="AE320" s="145"/>
      <c r="AF320" s="145"/>
      <c r="AG320" s="145" t="s">
        <v>198</v>
      </c>
      <c r="AH320" s="145">
        <v>6</v>
      </c>
      <c r="AI320" s="145"/>
      <c r="AJ320" s="145"/>
      <c r="AK320" s="145"/>
      <c r="AL320" s="145"/>
      <c r="AM320" s="145"/>
      <c r="AN320" s="145"/>
      <c r="AO320" s="145"/>
      <c r="AP320" s="145"/>
      <c r="AQ320" s="145"/>
      <c r="AR320" s="145"/>
      <c r="AS320" s="145"/>
      <c r="AT320" s="145"/>
      <c r="AU320" s="145"/>
      <c r="AV320" s="145"/>
      <c r="AW320" s="145"/>
      <c r="AX320" s="145"/>
      <c r="AY320" s="145"/>
      <c r="AZ320" s="145"/>
      <c r="BA320" s="145"/>
      <c r="BB320" s="145"/>
      <c r="BC320" s="145"/>
      <c r="BD320" s="145"/>
      <c r="BE320" s="145"/>
      <c r="BF320" s="145"/>
      <c r="BG320" s="145"/>
      <c r="BH320" s="145"/>
    </row>
    <row r="321" spans="1:60" x14ac:dyDescent="0.25">
      <c r="A321" s="159" t="s">
        <v>139</v>
      </c>
      <c r="B321" s="160" t="s">
        <v>103</v>
      </c>
      <c r="C321" s="178" t="s">
        <v>104</v>
      </c>
      <c r="D321" s="161"/>
      <c r="E321" s="162"/>
      <c r="F321" s="163"/>
      <c r="G321" s="164">
        <f>SUMIF(AG322:AG331,"&lt;&gt;NOR",G322:G331)</f>
        <v>0</v>
      </c>
      <c r="H321" s="158"/>
      <c r="I321" s="158">
        <f>SUM(I322:I331)</f>
        <v>3906.63</v>
      </c>
      <c r="J321" s="158"/>
      <c r="K321" s="158">
        <f>SUM(K322:K331)</f>
        <v>25528.52</v>
      </c>
      <c r="L321" s="158"/>
      <c r="M321" s="158">
        <f>SUM(M322:M331)</f>
        <v>0</v>
      </c>
      <c r="N321" s="157"/>
      <c r="O321" s="157">
        <f>SUM(O322:O331)</f>
        <v>0.5</v>
      </c>
      <c r="P321" s="157"/>
      <c r="Q321" s="157">
        <f>SUM(Q322:Q331)</f>
        <v>0</v>
      </c>
      <c r="R321" s="158"/>
      <c r="S321" s="158"/>
      <c r="T321" s="158"/>
      <c r="U321" s="158"/>
      <c r="V321" s="158">
        <f>SUM(V322:V331)</f>
        <v>26.31</v>
      </c>
      <c r="W321" s="158"/>
      <c r="X321" s="158"/>
      <c r="Y321" s="158"/>
      <c r="AG321" t="s">
        <v>140</v>
      </c>
    </row>
    <row r="322" spans="1:60" outlineLevel="1" x14ac:dyDescent="0.25">
      <c r="A322" s="166">
        <v>130</v>
      </c>
      <c r="B322" s="167" t="s">
        <v>545</v>
      </c>
      <c r="C322" s="180" t="s">
        <v>546</v>
      </c>
      <c r="D322" s="168" t="s">
        <v>197</v>
      </c>
      <c r="E322" s="169">
        <v>19.04</v>
      </c>
      <c r="F322" s="170"/>
      <c r="G322" s="171">
        <f>ROUND(E322*F322,2)</f>
        <v>0</v>
      </c>
      <c r="H322" s="156">
        <v>25.08</v>
      </c>
      <c r="I322" s="155">
        <f>ROUND(E322*H322,2)</f>
        <v>477.52</v>
      </c>
      <c r="J322" s="156">
        <v>27.22</v>
      </c>
      <c r="K322" s="155">
        <f>ROUND(E322*J322,2)</f>
        <v>518.27</v>
      </c>
      <c r="L322" s="155">
        <v>21</v>
      </c>
      <c r="M322" s="155">
        <f>G322*(1+L322/100)</f>
        <v>0</v>
      </c>
      <c r="N322" s="154">
        <v>2.1000000000000001E-4</v>
      </c>
      <c r="O322" s="154">
        <f>ROUND(E322*N322,2)</f>
        <v>0</v>
      </c>
      <c r="P322" s="154">
        <v>0</v>
      </c>
      <c r="Q322" s="154">
        <f>ROUND(E322*P322,2)</f>
        <v>0</v>
      </c>
      <c r="R322" s="155"/>
      <c r="S322" s="155" t="s">
        <v>999</v>
      </c>
      <c r="T322" s="155" t="s">
        <v>999</v>
      </c>
      <c r="U322" s="155">
        <v>0.05</v>
      </c>
      <c r="V322" s="155">
        <f>ROUND(E322*U322,2)</f>
        <v>0.95</v>
      </c>
      <c r="W322" s="155"/>
      <c r="X322" s="155" t="s">
        <v>146</v>
      </c>
      <c r="Y322" s="155" t="s">
        <v>147</v>
      </c>
      <c r="Z322" s="145"/>
      <c r="AA322" s="145"/>
      <c r="AB322" s="145"/>
      <c r="AC322" s="145"/>
      <c r="AD322" s="145"/>
      <c r="AE322" s="145"/>
      <c r="AF322" s="145"/>
      <c r="AG322" s="145" t="s">
        <v>148</v>
      </c>
      <c r="AH322" s="145"/>
      <c r="AI322" s="145"/>
      <c r="AJ322" s="145"/>
      <c r="AK322" s="145"/>
      <c r="AL322" s="145"/>
      <c r="AM322" s="145"/>
      <c r="AN322" s="145"/>
      <c r="AO322" s="145"/>
      <c r="AP322" s="145"/>
      <c r="AQ322" s="145"/>
      <c r="AR322" s="145"/>
      <c r="AS322" s="145"/>
      <c r="AT322" s="145"/>
      <c r="AU322" s="145"/>
      <c r="AV322" s="145"/>
      <c r="AW322" s="145"/>
      <c r="AX322" s="145"/>
      <c r="AY322" s="145"/>
      <c r="AZ322" s="145"/>
      <c r="BA322" s="145"/>
      <c r="BB322" s="145"/>
      <c r="BC322" s="145"/>
      <c r="BD322" s="145"/>
      <c r="BE322" s="145"/>
      <c r="BF322" s="145"/>
      <c r="BG322" s="145"/>
      <c r="BH322" s="145"/>
    </row>
    <row r="323" spans="1:60" outlineLevel="2" x14ac:dyDescent="0.25">
      <c r="A323" s="152"/>
      <c r="B323" s="153"/>
      <c r="C323" s="510" t="s">
        <v>547</v>
      </c>
      <c r="D323" s="511"/>
      <c r="E323" s="511"/>
      <c r="F323" s="511"/>
      <c r="G323" s="511"/>
      <c r="H323" s="155"/>
      <c r="I323" s="155"/>
      <c r="J323" s="155"/>
      <c r="K323" s="155"/>
      <c r="L323" s="155"/>
      <c r="M323" s="155"/>
      <c r="N323" s="154"/>
      <c r="O323" s="154"/>
      <c r="P323" s="154"/>
      <c r="Q323" s="154"/>
      <c r="R323" s="155"/>
      <c r="S323" s="155"/>
      <c r="T323" s="155"/>
      <c r="U323" s="155"/>
      <c r="V323" s="155"/>
      <c r="W323" s="155"/>
      <c r="X323" s="155"/>
      <c r="Y323" s="155"/>
      <c r="Z323" s="145"/>
      <c r="AA323" s="145"/>
      <c r="AB323" s="145"/>
      <c r="AC323" s="145"/>
      <c r="AD323" s="145"/>
      <c r="AE323" s="145"/>
      <c r="AF323" s="145"/>
      <c r="AG323" s="145" t="s">
        <v>225</v>
      </c>
      <c r="AH323" s="145"/>
      <c r="AI323" s="145"/>
      <c r="AJ323" s="145"/>
      <c r="AK323" s="145"/>
      <c r="AL323" s="145"/>
      <c r="AM323" s="145"/>
      <c r="AN323" s="145"/>
      <c r="AO323" s="145"/>
      <c r="AP323" s="145"/>
      <c r="AQ323" s="145"/>
      <c r="AR323" s="145"/>
      <c r="AS323" s="145"/>
      <c r="AT323" s="145"/>
      <c r="AU323" s="145"/>
      <c r="AV323" s="145"/>
      <c r="AW323" s="145"/>
      <c r="AX323" s="145"/>
      <c r="AY323" s="145"/>
      <c r="AZ323" s="145"/>
      <c r="BA323" s="145"/>
      <c r="BB323" s="145"/>
      <c r="BC323" s="145"/>
      <c r="BD323" s="145"/>
      <c r="BE323" s="145"/>
      <c r="BF323" s="145"/>
      <c r="BG323" s="145"/>
      <c r="BH323" s="145"/>
    </row>
    <row r="324" spans="1:60" outlineLevel="1" x14ac:dyDescent="0.25">
      <c r="A324" s="172">
        <v>131</v>
      </c>
      <c r="B324" s="173" t="s">
        <v>548</v>
      </c>
      <c r="C324" s="179" t="s">
        <v>549</v>
      </c>
      <c r="D324" s="174" t="s">
        <v>197</v>
      </c>
      <c r="E324" s="175">
        <v>19.04</v>
      </c>
      <c r="F324" s="176"/>
      <c r="G324" s="177">
        <f>ROUND(E324*F324,2)</f>
        <v>0</v>
      </c>
      <c r="H324" s="156">
        <v>172.7</v>
      </c>
      <c r="I324" s="155">
        <f>ROUND(E324*H324,2)</f>
        <v>3288.21</v>
      </c>
      <c r="J324" s="156">
        <v>705.3</v>
      </c>
      <c r="K324" s="155">
        <f>ROUND(E324*J324,2)</f>
        <v>13428.91</v>
      </c>
      <c r="L324" s="155">
        <v>21</v>
      </c>
      <c r="M324" s="155">
        <f>G324*(1+L324/100)</f>
        <v>0</v>
      </c>
      <c r="N324" s="154">
        <v>5.3499999999999997E-3</v>
      </c>
      <c r="O324" s="154">
        <f>ROUND(E324*N324,2)</f>
        <v>0.1</v>
      </c>
      <c r="P324" s="154">
        <v>0</v>
      </c>
      <c r="Q324" s="154">
        <f>ROUND(E324*P324,2)</f>
        <v>0</v>
      </c>
      <c r="R324" s="155"/>
      <c r="S324" s="155" t="s">
        <v>999</v>
      </c>
      <c r="T324" s="155" t="s">
        <v>999</v>
      </c>
      <c r="U324" s="155">
        <v>1.29</v>
      </c>
      <c r="V324" s="155">
        <f>ROUND(E324*U324,2)</f>
        <v>24.56</v>
      </c>
      <c r="W324" s="155"/>
      <c r="X324" s="155" t="s">
        <v>146</v>
      </c>
      <c r="Y324" s="155" t="s">
        <v>147</v>
      </c>
      <c r="Z324" s="145"/>
      <c r="AA324" s="145"/>
      <c r="AB324" s="145"/>
      <c r="AC324" s="145"/>
      <c r="AD324" s="145"/>
      <c r="AE324" s="145"/>
      <c r="AF324" s="145"/>
      <c r="AG324" s="145" t="s">
        <v>148</v>
      </c>
      <c r="AH324" s="145"/>
      <c r="AI324" s="145"/>
      <c r="AJ324" s="145"/>
      <c r="AK324" s="145"/>
      <c r="AL324" s="145"/>
      <c r="AM324" s="145"/>
      <c r="AN324" s="145"/>
      <c r="AO324" s="145"/>
      <c r="AP324" s="145"/>
      <c r="AQ324" s="145"/>
      <c r="AR324" s="145"/>
      <c r="AS324" s="145"/>
      <c r="AT324" s="145"/>
      <c r="AU324" s="145"/>
      <c r="AV324" s="145"/>
      <c r="AW324" s="145"/>
      <c r="AX324" s="145"/>
      <c r="AY324" s="145"/>
      <c r="AZ324" s="145"/>
      <c r="BA324" s="145"/>
      <c r="BB324" s="145"/>
      <c r="BC324" s="145"/>
      <c r="BD324" s="145"/>
      <c r="BE324" s="145"/>
      <c r="BF324" s="145"/>
      <c r="BG324" s="145"/>
      <c r="BH324" s="145"/>
    </row>
    <row r="325" spans="1:60" ht="20.399999999999999" outlineLevel="1" x14ac:dyDescent="0.25">
      <c r="A325" s="172">
        <v>132</v>
      </c>
      <c r="B325" s="173" t="s">
        <v>550</v>
      </c>
      <c r="C325" s="179" t="s">
        <v>551</v>
      </c>
      <c r="D325" s="174" t="s">
        <v>197</v>
      </c>
      <c r="E325" s="175">
        <v>20.95</v>
      </c>
      <c r="F325" s="176"/>
      <c r="G325" s="177">
        <f>ROUND(E325*F325,2)</f>
        <v>0</v>
      </c>
      <c r="H325" s="156">
        <v>0</v>
      </c>
      <c r="I325" s="155">
        <f>ROUND(E325*H325,2)</f>
        <v>0</v>
      </c>
      <c r="J325" s="156">
        <v>536.41</v>
      </c>
      <c r="K325" s="155">
        <f>ROUND(E325*J325,2)</f>
        <v>11237.79</v>
      </c>
      <c r="L325" s="155">
        <v>21</v>
      </c>
      <c r="M325" s="155">
        <f>G325*(1+L325/100)</f>
        <v>0</v>
      </c>
      <c r="N325" s="154">
        <v>1.8509999999999999E-2</v>
      </c>
      <c r="O325" s="154">
        <f>ROUND(E325*N325,2)</f>
        <v>0.39</v>
      </c>
      <c r="P325" s="154">
        <v>0</v>
      </c>
      <c r="Q325" s="154">
        <f>ROUND(E325*P325,2)</f>
        <v>0</v>
      </c>
      <c r="R325" s="155"/>
      <c r="S325" s="155" t="s">
        <v>144</v>
      </c>
      <c r="T325" s="155" t="s">
        <v>145</v>
      </c>
      <c r="U325" s="155">
        <v>0</v>
      </c>
      <c r="V325" s="155">
        <f>ROUND(E325*U325,2)</f>
        <v>0</v>
      </c>
      <c r="W325" s="155"/>
      <c r="X325" s="155" t="s">
        <v>146</v>
      </c>
      <c r="Y325" s="155" t="s">
        <v>147</v>
      </c>
      <c r="Z325" s="145"/>
      <c r="AA325" s="145"/>
      <c r="AB325" s="145"/>
      <c r="AC325" s="145"/>
      <c r="AD325" s="145"/>
      <c r="AE325" s="145"/>
      <c r="AF325" s="145"/>
      <c r="AG325" s="145" t="s">
        <v>148</v>
      </c>
      <c r="AH325" s="145"/>
      <c r="AI325" s="145"/>
      <c r="AJ325" s="145"/>
      <c r="AK325" s="145"/>
      <c r="AL325" s="145"/>
      <c r="AM325" s="145"/>
      <c r="AN325" s="145"/>
      <c r="AO325" s="145"/>
      <c r="AP325" s="145"/>
      <c r="AQ325" s="145"/>
      <c r="AR325" s="145"/>
      <c r="AS325" s="145"/>
      <c r="AT325" s="145"/>
      <c r="AU325" s="145"/>
      <c r="AV325" s="145"/>
      <c r="AW325" s="145"/>
      <c r="AX325" s="145"/>
      <c r="AY325" s="145"/>
      <c r="AZ325" s="145"/>
      <c r="BA325" s="145"/>
      <c r="BB325" s="145"/>
      <c r="BC325" s="145"/>
      <c r="BD325" s="145"/>
      <c r="BE325" s="145"/>
      <c r="BF325" s="145"/>
      <c r="BG325" s="145"/>
      <c r="BH325" s="145"/>
    </row>
    <row r="326" spans="1:60" ht="20.399999999999999" outlineLevel="1" x14ac:dyDescent="0.25">
      <c r="A326" s="172">
        <v>133</v>
      </c>
      <c r="B326" s="173" t="s">
        <v>536</v>
      </c>
      <c r="C326" s="179" t="s">
        <v>537</v>
      </c>
      <c r="D326" s="174" t="s">
        <v>197</v>
      </c>
      <c r="E326" s="175">
        <v>19.04</v>
      </c>
      <c r="F326" s="176"/>
      <c r="G326" s="177">
        <f>ROUND(E326*F326,2)</f>
        <v>0</v>
      </c>
      <c r="H326" s="156">
        <v>7.4</v>
      </c>
      <c r="I326" s="155">
        <f>ROUND(E326*H326,2)</f>
        <v>140.9</v>
      </c>
      <c r="J326" s="156">
        <v>0</v>
      </c>
      <c r="K326" s="155">
        <f>ROUND(E326*J326,2)</f>
        <v>0</v>
      </c>
      <c r="L326" s="155">
        <v>21</v>
      </c>
      <c r="M326" s="155">
        <f>G326*(1+L326/100)</f>
        <v>0</v>
      </c>
      <c r="N326" s="154">
        <v>2.9999999999999997E-4</v>
      </c>
      <c r="O326" s="154">
        <f>ROUND(E326*N326,2)</f>
        <v>0.01</v>
      </c>
      <c r="P326" s="154">
        <v>0</v>
      </c>
      <c r="Q326" s="154">
        <f>ROUND(E326*P326,2)</f>
        <v>0</v>
      </c>
      <c r="R326" s="155"/>
      <c r="S326" s="155" t="s">
        <v>999</v>
      </c>
      <c r="T326" s="155" t="s">
        <v>999</v>
      </c>
      <c r="U326" s="155">
        <v>0</v>
      </c>
      <c r="V326" s="155">
        <f>ROUND(E326*U326,2)</f>
        <v>0</v>
      </c>
      <c r="W326" s="155"/>
      <c r="X326" s="155" t="s">
        <v>146</v>
      </c>
      <c r="Y326" s="155" t="s">
        <v>147</v>
      </c>
      <c r="Z326" s="145"/>
      <c r="AA326" s="145"/>
      <c r="AB326" s="145"/>
      <c r="AC326" s="145"/>
      <c r="AD326" s="145"/>
      <c r="AE326" s="145"/>
      <c r="AF326" s="145"/>
      <c r="AG326" s="145" t="s">
        <v>148</v>
      </c>
      <c r="AH326" s="145"/>
      <c r="AI326" s="145"/>
      <c r="AJ326" s="145"/>
      <c r="AK326" s="145"/>
      <c r="AL326" s="145"/>
      <c r="AM326" s="145"/>
      <c r="AN326" s="145"/>
      <c r="AO326" s="145"/>
      <c r="AP326" s="145"/>
      <c r="AQ326" s="145"/>
      <c r="AR326" s="145"/>
      <c r="AS326" s="145"/>
      <c r="AT326" s="145"/>
      <c r="AU326" s="145"/>
      <c r="AV326" s="145"/>
      <c r="AW326" s="145"/>
      <c r="AX326" s="145"/>
      <c r="AY326" s="145"/>
      <c r="AZ326" s="145"/>
      <c r="BA326" s="145"/>
      <c r="BB326" s="145"/>
      <c r="BC326" s="145"/>
      <c r="BD326" s="145"/>
      <c r="BE326" s="145"/>
      <c r="BF326" s="145"/>
      <c r="BG326" s="145"/>
      <c r="BH326" s="145"/>
    </row>
    <row r="327" spans="1:60" outlineLevel="1" x14ac:dyDescent="0.25">
      <c r="A327" s="166">
        <v>134</v>
      </c>
      <c r="B327" s="167" t="s">
        <v>552</v>
      </c>
      <c r="C327" s="180" t="s">
        <v>553</v>
      </c>
      <c r="D327" s="168" t="s">
        <v>228</v>
      </c>
      <c r="E327" s="169">
        <v>0.49935000000000002</v>
      </c>
      <c r="F327" s="170"/>
      <c r="G327" s="171">
        <f>ROUND(E327*F327,2)</f>
        <v>0</v>
      </c>
      <c r="H327" s="156">
        <v>0</v>
      </c>
      <c r="I327" s="155">
        <f>ROUND(E327*H327,2)</f>
        <v>0</v>
      </c>
      <c r="J327" s="156">
        <v>688</v>
      </c>
      <c r="K327" s="155">
        <f>ROUND(E327*J327,2)</f>
        <v>343.55</v>
      </c>
      <c r="L327" s="155">
        <v>21</v>
      </c>
      <c r="M327" s="155">
        <f>G327*(1+L327/100)</f>
        <v>0</v>
      </c>
      <c r="N327" s="154">
        <v>0</v>
      </c>
      <c r="O327" s="154">
        <f>ROUND(E327*N327,2)</f>
        <v>0</v>
      </c>
      <c r="P327" s="154">
        <v>0</v>
      </c>
      <c r="Q327" s="154">
        <f>ROUND(E327*P327,2)</f>
        <v>0</v>
      </c>
      <c r="R327" s="155"/>
      <c r="S327" s="155" t="s">
        <v>999</v>
      </c>
      <c r="T327" s="155" t="s">
        <v>999</v>
      </c>
      <c r="U327" s="155">
        <v>1.6</v>
      </c>
      <c r="V327" s="155">
        <f>ROUND(E327*U327,2)</f>
        <v>0.8</v>
      </c>
      <c r="W327" s="155"/>
      <c r="X327" s="155" t="s">
        <v>146</v>
      </c>
      <c r="Y327" s="155" t="s">
        <v>147</v>
      </c>
      <c r="Z327" s="145"/>
      <c r="AA327" s="145"/>
      <c r="AB327" s="145"/>
      <c r="AC327" s="145"/>
      <c r="AD327" s="145"/>
      <c r="AE327" s="145"/>
      <c r="AF327" s="145"/>
      <c r="AG327" s="145" t="s">
        <v>148</v>
      </c>
      <c r="AH327" s="145"/>
      <c r="AI327" s="145"/>
      <c r="AJ327" s="145"/>
      <c r="AK327" s="145"/>
      <c r="AL327" s="145"/>
      <c r="AM327" s="145"/>
      <c r="AN327" s="145"/>
      <c r="AO327" s="145"/>
      <c r="AP327" s="145"/>
      <c r="AQ327" s="145"/>
      <c r="AR327" s="145"/>
      <c r="AS327" s="145"/>
      <c r="AT327" s="145"/>
      <c r="AU327" s="145"/>
      <c r="AV327" s="145"/>
      <c r="AW327" s="145"/>
      <c r="AX327" s="145"/>
      <c r="AY327" s="145"/>
      <c r="AZ327" s="145"/>
      <c r="BA327" s="145"/>
      <c r="BB327" s="145"/>
      <c r="BC327" s="145"/>
      <c r="BD327" s="145"/>
      <c r="BE327" s="145"/>
      <c r="BF327" s="145"/>
      <c r="BG327" s="145"/>
      <c r="BH327" s="145"/>
    </row>
    <row r="328" spans="1:60" outlineLevel="2" x14ac:dyDescent="0.25">
      <c r="A328" s="152"/>
      <c r="B328" s="153"/>
      <c r="C328" s="187" t="s">
        <v>554</v>
      </c>
      <c r="D328" s="184"/>
      <c r="E328" s="185">
        <v>4.0000000000000001E-3</v>
      </c>
      <c r="F328" s="155"/>
      <c r="G328" s="155"/>
      <c r="H328" s="155"/>
      <c r="I328" s="155"/>
      <c r="J328" s="155"/>
      <c r="K328" s="155"/>
      <c r="L328" s="155"/>
      <c r="M328" s="155"/>
      <c r="N328" s="154"/>
      <c r="O328" s="154"/>
      <c r="P328" s="154"/>
      <c r="Q328" s="154"/>
      <c r="R328" s="155"/>
      <c r="S328" s="155"/>
      <c r="T328" s="155"/>
      <c r="U328" s="155"/>
      <c r="V328" s="155"/>
      <c r="W328" s="155"/>
      <c r="X328" s="155"/>
      <c r="Y328" s="155"/>
      <c r="Z328" s="145"/>
      <c r="AA328" s="145"/>
      <c r="AB328" s="145"/>
      <c r="AC328" s="145"/>
      <c r="AD328" s="145"/>
      <c r="AE328" s="145"/>
      <c r="AF328" s="145"/>
      <c r="AG328" s="145" t="s">
        <v>198</v>
      </c>
      <c r="AH328" s="145">
        <v>6</v>
      </c>
      <c r="AI328" s="145"/>
      <c r="AJ328" s="145"/>
      <c r="AK328" s="145"/>
      <c r="AL328" s="145"/>
      <c r="AM328" s="145"/>
      <c r="AN328" s="145"/>
      <c r="AO328" s="145"/>
      <c r="AP328" s="145"/>
      <c r="AQ328" s="145"/>
      <c r="AR328" s="145"/>
      <c r="AS328" s="145"/>
      <c r="AT328" s="145"/>
      <c r="AU328" s="145"/>
      <c r="AV328" s="145"/>
      <c r="AW328" s="145"/>
      <c r="AX328" s="145"/>
      <c r="AY328" s="145"/>
      <c r="AZ328" s="145"/>
      <c r="BA328" s="145"/>
      <c r="BB328" s="145"/>
      <c r="BC328" s="145"/>
      <c r="BD328" s="145"/>
      <c r="BE328" s="145"/>
      <c r="BF328" s="145"/>
      <c r="BG328" s="145"/>
      <c r="BH328" s="145"/>
    </row>
    <row r="329" spans="1:60" outlineLevel="3" x14ac:dyDescent="0.25">
      <c r="A329" s="152"/>
      <c r="B329" s="153"/>
      <c r="C329" s="187" t="s">
        <v>555</v>
      </c>
      <c r="D329" s="184"/>
      <c r="E329" s="185">
        <v>0.10186000000000001</v>
      </c>
      <c r="F329" s="155"/>
      <c r="G329" s="155"/>
      <c r="H329" s="155"/>
      <c r="I329" s="155"/>
      <c r="J329" s="155"/>
      <c r="K329" s="155"/>
      <c r="L329" s="155"/>
      <c r="M329" s="155"/>
      <c r="N329" s="154"/>
      <c r="O329" s="154"/>
      <c r="P329" s="154"/>
      <c r="Q329" s="154"/>
      <c r="R329" s="155"/>
      <c r="S329" s="155"/>
      <c r="T329" s="155"/>
      <c r="U329" s="155"/>
      <c r="V329" s="155"/>
      <c r="W329" s="155"/>
      <c r="X329" s="155"/>
      <c r="Y329" s="155"/>
      <c r="Z329" s="145"/>
      <c r="AA329" s="145"/>
      <c r="AB329" s="145"/>
      <c r="AC329" s="145"/>
      <c r="AD329" s="145"/>
      <c r="AE329" s="145"/>
      <c r="AF329" s="145"/>
      <c r="AG329" s="145" t="s">
        <v>198</v>
      </c>
      <c r="AH329" s="145">
        <v>6</v>
      </c>
      <c r="AI329" s="145"/>
      <c r="AJ329" s="145"/>
      <c r="AK329" s="145"/>
      <c r="AL329" s="145"/>
      <c r="AM329" s="145"/>
      <c r="AN329" s="145"/>
      <c r="AO329" s="145"/>
      <c r="AP329" s="145"/>
      <c r="AQ329" s="145"/>
      <c r="AR329" s="145"/>
      <c r="AS329" s="145"/>
      <c r="AT329" s="145"/>
      <c r="AU329" s="145"/>
      <c r="AV329" s="145"/>
      <c r="AW329" s="145"/>
      <c r="AX329" s="145"/>
      <c r="AY329" s="145"/>
      <c r="AZ329" s="145"/>
      <c r="BA329" s="145"/>
      <c r="BB329" s="145"/>
      <c r="BC329" s="145"/>
      <c r="BD329" s="145"/>
      <c r="BE329" s="145"/>
      <c r="BF329" s="145"/>
      <c r="BG329" s="145"/>
      <c r="BH329" s="145"/>
    </row>
    <row r="330" spans="1:60" outlineLevel="3" x14ac:dyDescent="0.25">
      <c r="A330" s="152"/>
      <c r="B330" s="153"/>
      <c r="C330" s="187" t="s">
        <v>556</v>
      </c>
      <c r="D330" s="184"/>
      <c r="E330" s="185">
        <v>0.38778000000000001</v>
      </c>
      <c r="F330" s="155"/>
      <c r="G330" s="155"/>
      <c r="H330" s="155"/>
      <c r="I330" s="155"/>
      <c r="J330" s="155"/>
      <c r="K330" s="155"/>
      <c r="L330" s="155"/>
      <c r="M330" s="155"/>
      <c r="N330" s="154"/>
      <c r="O330" s="154"/>
      <c r="P330" s="154"/>
      <c r="Q330" s="154"/>
      <c r="R330" s="155"/>
      <c r="S330" s="155"/>
      <c r="T330" s="155"/>
      <c r="U330" s="155"/>
      <c r="V330" s="155"/>
      <c r="W330" s="155"/>
      <c r="X330" s="155"/>
      <c r="Y330" s="155"/>
      <c r="Z330" s="145"/>
      <c r="AA330" s="145"/>
      <c r="AB330" s="145"/>
      <c r="AC330" s="145"/>
      <c r="AD330" s="145"/>
      <c r="AE330" s="145"/>
      <c r="AF330" s="145"/>
      <c r="AG330" s="145" t="s">
        <v>198</v>
      </c>
      <c r="AH330" s="145">
        <v>6</v>
      </c>
      <c r="AI330" s="145"/>
      <c r="AJ330" s="145"/>
      <c r="AK330" s="145"/>
      <c r="AL330" s="145"/>
      <c r="AM330" s="145"/>
      <c r="AN330" s="145"/>
      <c r="AO330" s="145"/>
      <c r="AP330" s="145"/>
      <c r="AQ330" s="145"/>
      <c r="AR330" s="145"/>
      <c r="AS330" s="145"/>
      <c r="AT330" s="145"/>
      <c r="AU330" s="145"/>
      <c r="AV330" s="145"/>
      <c r="AW330" s="145"/>
      <c r="AX330" s="145"/>
      <c r="AY330" s="145"/>
      <c r="AZ330" s="145"/>
      <c r="BA330" s="145"/>
      <c r="BB330" s="145"/>
      <c r="BC330" s="145"/>
      <c r="BD330" s="145"/>
      <c r="BE330" s="145"/>
      <c r="BF330" s="145"/>
      <c r="BG330" s="145"/>
      <c r="BH330" s="145"/>
    </row>
    <row r="331" spans="1:60" outlineLevel="3" x14ac:dyDescent="0.25">
      <c r="A331" s="152"/>
      <c r="B331" s="153"/>
      <c r="C331" s="187" t="s">
        <v>557</v>
      </c>
      <c r="D331" s="184"/>
      <c r="E331" s="185">
        <v>5.7099999999999998E-3</v>
      </c>
      <c r="F331" s="155"/>
      <c r="G331" s="155"/>
      <c r="H331" s="155"/>
      <c r="I331" s="155"/>
      <c r="J331" s="155"/>
      <c r="K331" s="155"/>
      <c r="L331" s="155"/>
      <c r="M331" s="155"/>
      <c r="N331" s="154"/>
      <c r="O331" s="154"/>
      <c r="P331" s="154"/>
      <c r="Q331" s="154"/>
      <c r="R331" s="155"/>
      <c r="S331" s="155"/>
      <c r="T331" s="155"/>
      <c r="U331" s="155"/>
      <c r="V331" s="155"/>
      <c r="W331" s="155"/>
      <c r="X331" s="155"/>
      <c r="Y331" s="155"/>
      <c r="Z331" s="145"/>
      <c r="AA331" s="145"/>
      <c r="AB331" s="145"/>
      <c r="AC331" s="145"/>
      <c r="AD331" s="145"/>
      <c r="AE331" s="145"/>
      <c r="AF331" s="145"/>
      <c r="AG331" s="145" t="s">
        <v>198</v>
      </c>
      <c r="AH331" s="145">
        <v>6</v>
      </c>
      <c r="AI331" s="145"/>
      <c r="AJ331" s="145"/>
      <c r="AK331" s="145"/>
      <c r="AL331" s="145"/>
      <c r="AM331" s="145"/>
      <c r="AN331" s="145"/>
      <c r="AO331" s="145"/>
      <c r="AP331" s="145"/>
      <c r="AQ331" s="145"/>
      <c r="AR331" s="145"/>
      <c r="AS331" s="145"/>
      <c r="AT331" s="145"/>
      <c r="AU331" s="145"/>
      <c r="AV331" s="145"/>
      <c r="AW331" s="145"/>
      <c r="AX331" s="145"/>
      <c r="AY331" s="145"/>
      <c r="AZ331" s="145"/>
      <c r="BA331" s="145"/>
      <c r="BB331" s="145"/>
      <c r="BC331" s="145"/>
      <c r="BD331" s="145"/>
      <c r="BE331" s="145"/>
      <c r="BF331" s="145"/>
      <c r="BG331" s="145"/>
      <c r="BH331" s="145"/>
    </row>
    <row r="332" spans="1:60" x14ac:dyDescent="0.25">
      <c r="A332" s="159" t="s">
        <v>139</v>
      </c>
      <c r="B332" s="160" t="s">
        <v>105</v>
      </c>
      <c r="C332" s="178" t="s">
        <v>106</v>
      </c>
      <c r="D332" s="161"/>
      <c r="E332" s="162"/>
      <c r="F332" s="163"/>
      <c r="G332" s="164">
        <f>SUMIF(AG333:AG346,"&lt;&gt;NOR",G333:G346)</f>
        <v>0</v>
      </c>
      <c r="H332" s="158"/>
      <c r="I332" s="158">
        <f>SUM(I333:I346)</f>
        <v>10603.66</v>
      </c>
      <c r="J332" s="158"/>
      <c r="K332" s="158">
        <f>SUM(K333:K346)</f>
        <v>20273.43</v>
      </c>
      <c r="L332" s="158"/>
      <c r="M332" s="158">
        <f>SUM(M333:M346)</f>
        <v>0</v>
      </c>
      <c r="N332" s="157"/>
      <c r="O332" s="157">
        <f>SUM(O333:O346)</f>
        <v>0.08</v>
      </c>
      <c r="P332" s="157"/>
      <c r="Q332" s="157">
        <f>SUM(Q333:Q346)</f>
        <v>0</v>
      </c>
      <c r="R332" s="158"/>
      <c r="S332" s="158"/>
      <c r="T332" s="158"/>
      <c r="U332" s="158"/>
      <c r="V332" s="158">
        <f>SUM(V333:V346)</f>
        <v>43.3</v>
      </c>
      <c r="W332" s="158"/>
      <c r="X332" s="158"/>
      <c r="Y332" s="158"/>
      <c r="AG332" t="s">
        <v>140</v>
      </c>
    </row>
    <row r="333" spans="1:60" outlineLevel="1" x14ac:dyDescent="0.25">
      <c r="A333" s="166">
        <v>135</v>
      </c>
      <c r="B333" s="167" t="s">
        <v>558</v>
      </c>
      <c r="C333" s="180" t="s">
        <v>559</v>
      </c>
      <c r="D333" s="168" t="s">
        <v>197</v>
      </c>
      <c r="E333" s="169">
        <v>60.851439999999997</v>
      </c>
      <c r="F333" s="170"/>
      <c r="G333" s="171">
        <f>ROUND(E333*F333,2)</f>
        <v>0</v>
      </c>
      <c r="H333" s="156">
        <v>20.18</v>
      </c>
      <c r="I333" s="155">
        <f>ROUND(E333*H333,2)</f>
        <v>1227.98</v>
      </c>
      <c r="J333" s="156">
        <v>13.32</v>
      </c>
      <c r="K333" s="155">
        <f>ROUND(E333*J333,2)</f>
        <v>810.54</v>
      </c>
      <c r="L333" s="155">
        <v>21</v>
      </c>
      <c r="M333" s="155">
        <f>G333*(1+L333/100)</f>
        <v>0</v>
      </c>
      <c r="N333" s="154">
        <v>1.4999999999999999E-4</v>
      </c>
      <c r="O333" s="154">
        <f>ROUND(E333*N333,2)</f>
        <v>0.01</v>
      </c>
      <c r="P333" s="154">
        <v>0</v>
      </c>
      <c r="Q333" s="154">
        <f>ROUND(E333*P333,2)</f>
        <v>0</v>
      </c>
      <c r="R333" s="155"/>
      <c r="S333" s="155" t="s">
        <v>999</v>
      </c>
      <c r="T333" s="155" t="s">
        <v>999</v>
      </c>
      <c r="U333" s="155">
        <v>0.03</v>
      </c>
      <c r="V333" s="155">
        <f>ROUND(E333*U333,2)</f>
        <v>1.83</v>
      </c>
      <c r="W333" s="155"/>
      <c r="X333" s="155" t="s">
        <v>146</v>
      </c>
      <c r="Y333" s="155" t="s">
        <v>147</v>
      </c>
      <c r="Z333" s="145"/>
      <c r="AA333" s="145"/>
      <c r="AB333" s="145"/>
      <c r="AC333" s="145"/>
      <c r="AD333" s="145"/>
      <c r="AE333" s="145"/>
      <c r="AF333" s="145"/>
      <c r="AG333" s="145" t="s">
        <v>148</v>
      </c>
      <c r="AH333" s="145"/>
      <c r="AI333" s="145"/>
      <c r="AJ333" s="145"/>
      <c r="AK333" s="145"/>
      <c r="AL333" s="145"/>
      <c r="AM333" s="145"/>
      <c r="AN333" s="145"/>
      <c r="AO333" s="145"/>
      <c r="AP333" s="145"/>
      <c r="AQ333" s="145"/>
      <c r="AR333" s="145"/>
      <c r="AS333" s="145"/>
      <c r="AT333" s="145"/>
      <c r="AU333" s="145"/>
      <c r="AV333" s="145"/>
      <c r="AW333" s="145"/>
      <c r="AX333" s="145"/>
      <c r="AY333" s="145"/>
      <c r="AZ333" s="145"/>
      <c r="BA333" s="145"/>
      <c r="BB333" s="145"/>
      <c r="BC333" s="145"/>
      <c r="BD333" s="145"/>
      <c r="BE333" s="145"/>
      <c r="BF333" s="145"/>
      <c r="BG333" s="145"/>
      <c r="BH333" s="145"/>
    </row>
    <row r="334" spans="1:60" outlineLevel="2" x14ac:dyDescent="0.25">
      <c r="A334" s="152"/>
      <c r="B334" s="153"/>
      <c r="C334" s="187" t="s">
        <v>560</v>
      </c>
      <c r="D334" s="184"/>
      <c r="E334" s="185">
        <v>55.44</v>
      </c>
      <c r="F334" s="155"/>
      <c r="G334" s="155"/>
      <c r="H334" s="155"/>
      <c r="I334" s="155"/>
      <c r="J334" s="155"/>
      <c r="K334" s="155"/>
      <c r="L334" s="155"/>
      <c r="M334" s="155"/>
      <c r="N334" s="154"/>
      <c r="O334" s="154"/>
      <c r="P334" s="154"/>
      <c r="Q334" s="154"/>
      <c r="R334" s="155"/>
      <c r="S334" s="155"/>
      <c r="T334" s="155"/>
      <c r="U334" s="155"/>
      <c r="V334" s="155"/>
      <c r="W334" s="155"/>
      <c r="X334" s="155"/>
      <c r="Y334" s="155"/>
      <c r="Z334" s="145"/>
      <c r="AA334" s="145"/>
      <c r="AB334" s="145"/>
      <c r="AC334" s="145"/>
      <c r="AD334" s="145"/>
      <c r="AE334" s="145"/>
      <c r="AF334" s="145"/>
      <c r="AG334" s="145" t="s">
        <v>198</v>
      </c>
      <c r="AH334" s="145">
        <v>0</v>
      </c>
      <c r="AI334" s="145"/>
      <c r="AJ334" s="145"/>
      <c r="AK334" s="145"/>
      <c r="AL334" s="145"/>
      <c r="AM334" s="145"/>
      <c r="AN334" s="145"/>
      <c r="AO334" s="145"/>
      <c r="AP334" s="145"/>
      <c r="AQ334" s="145"/>
      <c r="AR334" s="145"/>
      <c r="AS334" s="145"/>
      <c r="AT334" s="145"/>
      <c r="AU334" s="145"/>
      <c r="AV334" s="145"/>
      <c r="AW334" s="145"/>
      <c r="AX334" s="145"/>
      <c r="AY334" s="145"/>
      <c r="AZ334" s="145"/>
      <c r="BA334" s="145"/>
      <c r="BB334" s="145"/>
      <c r="BC334" s="145"/>
      <c r="BD334" s="145"/>
      <c r="BE334" s="145"/>
      <c r="BF334" s="145"/>
      <c r="BG334" s="145"/>
      <c r="BH334" s="145"/>
    </row>
    <row r="335" spans="1:60" outlineLevel="3" x14ac:dyDescent="0.25">
      <c r="A335" s="152"/>
      <c r="B335" s="153"/>
      <c r="C335" s="187" t="s">
        <v>561</v>
      </c>
      <c r="D335" s="184"/>
      <c r="E335" s="185">
        <v>5.0114400000000003</v>
      </c>
      <c r="F335" s="155"/>
      <c r="G335" s="155"/>
      <c r="H335" s="155"/>
      <c r="I335" s="155"/>
      <c r="J335" s="155"/>
      <c r="K335" s="155"/>
      <c r="L335" s="155"/>
      <c r="M335" s="155"/>
      <c r="N335" s="154"/>
      <c r="O335" s="154"/>
      <c r="P335" s="154"/>
      <c r="Q335" s="154"/>
      <c r="R335" s="155"/>
      <c r="S335" s="155"/>
      <c r="T335" s="155"/>
      <c r="U335" s="155"/>
      <c r="V335" s="155"/>
      <c r="W335" s="155"/>
      <c r="X335" s="155"/>
      <c r="Y335" s="155"/>
      <c r="Z335" s="145"/>
      <c r="AA335" s="145"/>
      <c r="AB335" s="145"/>
      <c r="AC335" s="145"/>
      <c r="AD335" s="145"/>
      <c r="AE335" s="145"/>
      <c r="AF335" s="145"/>
      <c r="AG335" s="145" t="s">
        <v>198</v>
      </c>
      <c r="AH335" s="145">
        <v>0</v>
      </c>
      <c r="AI335" s="145"/>
      <c r="AJ335" s="145"/>
      <c r="AK335" s="145"/>
      <c r="AL335" s="145"/>
      <c r="AM335" s="145"/>
      <c r="AN335" s="145"/>
      <c r="AO335" s="145"/>
      <c r="AP335" s="145"/>
      <c r="AQ335" s="145"/>
      <c r="AR335" s="145"/>
      <c r="AS335" s="145"/>
      <c r="AT335" s="145"/>
      <c r="AU335" s="145"/>
      <c r="AV335" s="145"/>
      <c r="AW335" s="145"/>
      <c r="AX335" s="145"/>
      <c r="AY335" s="145"/>
      <c r="AZ335" s="145"/>
      <c r="BA335" s="145"/>
      <c r="BB335" s="145"/>
      <c r="BC335" s="145"/>
      <c r="BD335" s="145"/>
      <c r="BE335" s="145"/>
      <c r="BF335" s="145"/>
      <c r="BG335" s="145"/>
      <c r="BH335" s="145"/>
    </row>
    <row r="336" spans="1:60" outlineLevel="3" x14ac:dyDescent="0.25">
      <c r="A336" s="152"/>
      <c r="B336" s="153"/>
      <c r="C336" s="187" t="s">
        <v>562</v>
      </c>
      <c r="D336" s="184"/>
      <c r="E336" s="185">
        <v>0.4</v>
      </c>
      <c r="F336" s="155"/>
      <c r="G336" s="155"/>
      <c r="H336" s="155"/>
      <c r="I336" s="155"/>
      <c r="J336" s="155"/>
      <c r="K336" s="155"/>
      <c r="L336" s="155"/>
      <c r="M336" s="155"/>
      <c r="N336" s="154"/>
      <c r="O336" s="154"/>
      <c r="P336" s="154"/>
      <c r="Q336" s="154"/>
      <c r="R336" s="155"/>
      <c r="S336" s="155"/>
      <c r="T336" s="155"/>
      <c r="U336" s="155"/>
      <c r="V336" s="155"/>
      <c r="W336" s="155"/>
      <c r="X336" s="155"/>
      <c r="Y336" s="155"/>
      <c r="Z336" s="145"/>
      <c r="AA336" s="145"/>
      <c r="AB336" s="145"/>
      <c r="AC336" s="145"/>
      <c r="AD336" s="145"/>
      <c r="AE336" s="145"/>
      <c r="AF336" s="145"/>
      <c r="AG336" s="145" t="s">
        <v>198</v>
      </c>
      <c r="AH336" s="145">
        <v>0</v>
      </c>
      <c r="AI336" s="145"/>
      <c r="AJ336" s="145"/>
      <c r="AK336" s="145"/>
      <c r="AL336" s="145"/>
      <c r="AM336" s="145"/>
      <c r="AN336" s="145"/>
      <c r="AO336" s="145"/>
      <c r="AP336" s="145"/>
      <c r="AQ336" s="145"/>
      <c r="AR336" s="145"/>
      <c r="AS336" s="145"/>
      <c r="AT336" s="145"/>
      <c r="AU336" s="145"/>
      <c r="AV336" s="145"/>
      <c r="AW336" s="145"/>
      <c r="AX336" s="145"/>
      <c r="AY336" s="145"/>
      <c r="AZ336" s="145"/>
      <c r="BA336" s="145"/>
      <c r="BB336" s="145"/>
      <c r="BC336" s="145"/>
      <c r="BD336" s="145"/>
      <c r="BE336" s="145"/>
      <c r="BF336" s="145"/>
      <c r="BG336" s="145"/>
      <c r="BH336" s="145"/>
    </row>
    <row r="337" spans="1:60" outlineLevel="1" x14ac:dyDescent="0.25">
      <c r="A337" s="166">
        <v>136</v>
      </c>
      <c r="B337" s="167" t="s">
        <v>563</v>
      </c>
      <c r="C337" s="180" t="s">
        <v>1090</v>
      </c>
      <c r="D337" s="168" t="s">
        <v>197</v>
      </c>
      <c r="E337" s="169">
        <v>179.9</v>
      </c>
      <c r="F337" s="170"/>
      <c r="G337" s="171">
        <f>ROUND(E337*F337,2)</f>
        <v>0</v>
      </c>
      <c r="H337" s="156">
        <v>13.04</v>
      </c>
      <c r="I337" s="155">
        <f>ROUND(E337*H337,2)</f>
        <v>2345.9</v>
      </c>
      <c r="J337" s="156">
        <v>64.959999999999994</v>
      </c>
      <c r="K337" s="155">
        <f>ROUND(E337*J337,2)</f>
        <v>11686.3</v>
      </c>
      <c r="L337" s="155">
        <v>21</v>
      </c>
      <c r="M337" s="155">
        <f>G337*(1+L337/100)</f>
        <v>0</v>
      </c>
      <c r="N337" s="154">
        <v>1.6000000000000001E-4</v>
      </c>
      <c r="O337" s="154">
        <f>ROUND(E337*N337,2)</f>
        <v>0.03</v>
      </c>
      <c r="P337" s="154">
        <v>0</v>
      </c>
      <c r="Q337" s="154">
        <f>ROUND(E337*P337,2)</f>
        <v>0</v>
      </c>
      <c r="R337" s="155"/>
      <c r="S337" s="155" t="s">
        <v>999</v>
      </c>
      <c r="T337" s="155" t="s">
        <v>999</v>
      </c>
      <c r="U337" s="155">
        <v>0.15</v>
      </c>
      <c r="V337" s="155">
        <f>ROUND(E337*U337,2)</f>
        <v>26.99</v>
      </c>
      <c r="W337" s="155"/>
      <c r="X337" s="155" t="s">
        <v>146</v>
      </c>
      <c r="Y337" s="155" t="s">
        <v>147</v>
      </c>
      <c r="Z337" s="145"/>
      <c r="AA337" s="145"/>
      <c r="AB337" s="145"/>
      <c r="AC337" s="145"/>
      <c r="AD337" s="145"/>
      <c r="AE337" s="145"/>
      <c r="AF337" s="145"/>
      <c r="AG337" s="145" t="s">
        <v>148</v>
      </c>
      <c r="AH337" s="145"/>
      <c r="AI337" s="145"/>
      <c r="AJ337" s="145"/>
      <c r="AK337" s="145"/>
      <c r="AL337" s="145"/>
      <c r="AM337" s="145"/>
      <c r="AN337" s="145"/>
      <c r="AO337" s="145"/>
      <c r="AP337" s="145"/>
      <c r="AQ337" s="145"/>
      <c r="AR337" s="145"/>
      <c r="AS337" s="145"/>
      <c r="AT337" s="145"/>
      <c r="AU337" s="145"/>
      <c r="AV337" s="145"/>
      <c r="AW337" s="145"/>
      <c r="AX337" s="145"/>
      <c r="AY337" s="145"/>
      <c r="AZ337" s="145"/>
      <c r="BA337" s="145"/>
      <c r="BB337" s="145"/>
      <c r="BC337" s="145"/>
      <c r="BD337" s="145"/>
      <c r="BE337" s="145"/>
      <c r="BF337" s="145"/>
      <c r="BG337" s="145"/>
      <c r="BH337" s="145"/>
    </row>
    <row r="338" spans="1:60" outlineLevel="2" x14ac:dyDescent="0.25">
      <c r="A338" s="152"/>
      <c r="B338" s="153"/>
      <c r="C338" s="510" t="s">
        <v>564</v>
      </c>
      <c r="D338" s="511"/>
      <c r="E338" s="511"/>
      <c r="F338" s="511"/>
      <c r="G338" s="511"/>
      <c r="H338" s="155"/>
      <c r="I338" s="155"/>
      <c r="J338" s="155"/>
      <c r="K338" s="155"/>
      <c r="L338" s="155"/>
      <c r="M338" s="155"/>
      <c r="N338" s="154"/>
      <c r="O338" s="154"/>
      <c r="P338" s="154"/>
      <c r="Q338" s="154"/>
      <c r="R338" s="155"/>
      <c r="S338" s="155"/>
      <c r="T338" s="155"/>
      <c r="U338" s="155"/>
      <c r="V338" s="155"/>
      <c r="W338" s="155"/>
      <c r="X338" s="155"/>
      <c r="Y338" s="155"/>
      <c r="Z338" s="145"/>
      <c r="AA338" s="145"/>
      <c r="AB338" s="145"/>
      <c r="AC338" s="145"/>
      <c r="AD338" s="145"/>
      <c r="AE338" s="145"/>
      <c r="AF338" s="145"/>
      <c r="AG338" s="145" t="s">
        <v>225</v>
      </c>
      <c r="AH338" s="145"/>
      <c r="AI338" s="145"/>
      <c r="AJ338" s="145"/>
      <c r="AK338" s="145"/>
      <c r="AL338" s="145"/>
      <c r="AM338" s="145"/>
      <c r="AN338" s="145"/>
      <c r="AO338" s="145"/>
      <c r="AP338" s="145"/>
      <c r="AQ338" s="145"/>
      <c r="AR338" s="145"/>
      <c r="AS338" s="145"/>
      <c r="AT338" s="145"/>
      <c r="AU338" s="145"/>
      <c r="AV338" s="145"/>
      <c r="AW338" s="145"/>
      <c r="AX338" s="145"/>
      <c r="AY338" s="145"/>
      <c r="AZ338" s="145"/>
      <c r="BA338" s="145"/>
      <c r="BB338" s="145"/>
      <c r="BC338" s="145"/>
      <c r="BD338" s="145"/>
      <c r="BE338" s="145"/>
      <c r="BF338" s="145"/>
      <c r="BG338" s="145"/>
      <c r="BH338" s="145"/>
    </row>
    <row r="339" spans="1:60" ht="40.799999999999997" outlineLevel="2" x14ac:dyDescent="0.25">
      <c r="A339" s="152"/>
      <c r="B339" s="153"/>
      <c r="C339" s="243" t="s">
        <v>1089</v>
      </c>
      <c r="D339" s="244"/>
      <c r="E339" s="244"/>
      <c r="F339" s="244"/>
      <c r="G339" s="244"/>
      <c r="H339" s="155"/>
      <c r="I339" s="155"/>
      <c r="J339" s="155"/>
      <c r="K339" s="155"/>
      <c r="L339" s="155"/>
      <c r="M339" s="155"/>
      <c r="N339" s="154"/>
      <c r="O339" s="154"/>
      <c r="P339" s="154"/>
      <c r="Q339" s="154"/>
      <c r="R339" s="155"/>
      <c r="S339" s="155"/>
      <c r="T339" s="155"/>
      <c r="U339" s="155"/>
      <c r="V339" s="155"/>
      <c r="W339" s="155"/>
      <c r="X339" s="155"/>
      <c r="Y339" s="155"/>
      <c r="Z339" s="145"/>
      <c r="AA339" s="145"/>
      <c r="AB339" s="145"/>
      <c r="AC339" s="145"/>
      <c r="AD339" s="145"/>
      <c r="AE339" s="145"/>
      <c r="AF339" s="145"/>
      <c r="AG339" s="145"/>
      <c r="AH339" s="145"/>
      <c r="AI339" s="145"/>
      <c r="AJ339" s="145"/>
      <c r="AK339" s="145"/>
      <c r="AL339" s="145"/>
      <c r="AM339" s="145"/>
      <c r="AN339" s="145"/>
      <c r="AO339" s="145"/>
      <c r="AP339" s="145"/>
      <c r="AQ339" s="145"/>
      <c r="AR339" s="145"/>
      <c r="AS339" s="145"/>
      <c r="AT339" s="145"/>
      <c r="AU339" s="145"/>
      <c r="AV339" s="145"/>
      <c r="AW339" s="145"/>
      <c r="AX339" s="145"/>
      <c r="AY339" s="145"/>
      <c r="AZ339" s="145"/>
      <c r="BA339" s="145"/>
      <c r="BB339" s="145"/>
      <c r="BC339" s="145"/>
      <c r="BD339" s="145"/>
      <c r="BE339" s="145"/>
      <c r="BF339" s="145"/>
      <c r="BG339" s="145"/>
      <c r="BH339" s="145"/>
    </row>
    <row r="340" spans="1:60" outlineLevel="2" x14ac:dyDescent="0.25">
      <c r="A340" s="152"/>
      <c r="B340" s="153"/>
      <c r="C340" s="187" t="s">
        <v>565</v>
      </c>
      <c r="D340" s="184"/>
      <c r="E340" s="185">
        <v>179.9</v>
      </c>
      <c r="F340" s="155"/>
      <c r="G340" s="155"/>
      <c r="H340" s="155"/>
      <c r="I340" s="155"/>
      <c r="J340" s="155"/>
      <c r="K340" s="155"/>
      <c r="L340" s="155"/>
      <c r="M340" s="155"/>
      <c r="N340" s="154"/>
      <c r="O340" s="154"/>
      <c r="P340" s="154"/>
      <c r="Q340" s="154"/>
      <c r="R340" s="155"/>
      <c r="S340" s="155"/>
      <c r="T340" s="155"/>
      <c r="U340" s="155"/>
      <c r="V340" s="155"/>
      <c r="W340" s="155"/>
      <c r="X340" s="155"/>
      <c r="Y340" s="155"/>
      <c r="Z340" s="145"/>
      <c r="AA340" s="145"/>
      <c r="AB340" s="145"/>
      <c r="AC340" s="145"/>
      <c r="AD340" s="145"/>
      <c r="AE340" s="145"/>
      <c r="AF340" s="145"/>
      <c r="AG340" s="145" t="s">
        <v>198</v>
      </c>
      <c r="AH340" s="145">
        <v>0</v>
      </c>
      <c r="AI340" s="145"/>
      <c r="AJ340" s="145"/>
      <c r="AK340" s="145"/>
      <c r="AL340" s="145"/>
      <c r="AM340" s="145"/>
      <c r="AN340" s="145"/>
      <c r="AO340" s="145"/>
      <c r="AP340" s="145"/>
      <c r="AQ340" s="145"/>
      <c r="AR340" s="145"/>
      <c r="AS340" s="145"/>
      <c r="AT340" s="145"/>
      <c r="AU340" s="145"/>
      <c r="AV340" s="145"/>
      <c r="AW340" s="145"/>
      <c r="AX340" s="145"/>
      <c r="AY340" s="145"/>
      <c r="AZ340" s="145"/>
      <c r="BA340" s="145"/>
      <c r="BB340" s="145"/>
      <c r="BC340" s="145"/>
      <c r="BD340" s="145"/>
      <c r="BE340" s="145"/>
      <c r="BF340" s="145"/>
      <c r="BG340" s="145"/>
      <c r="BH340" s="145"/>
    </row>
    <row r="341" spans="1:60" outlineLevel="1" x14ac:dyDescent="0.25">
      <c r="A341" s="166">
        <v>137</v>
      </c>
      <c r="B341" s="167" t="s">
        <v>566</v>
      </c>
      <c r="C341" s="180" t="s">
        <v>567</v>
      </c>
      <c r="D341" s="168" t="s">
        <v>197</v>
      </c>
      <c r="E341" s="169">
        <v>89.95</v>
      </c>
      <c r="F341" s="170"/>
      <c r="G341" s="171">
        <f>ROUND(E341*F341,2)</f>
        <v>0</v>
      </c>
      <c r="H341" s="156">
        <v>36.29</v>
      </c>
      <c r="I341" s="155">
        <f>ROUND(E341*H341,2)</f>
        <v>3264.29</v>
      </c>
      <c r="J341" s="156">
        <v>52.21</v>
      </c>
      <c r="K341" s="155">
        <f>ROUND(E341*J341,2)</f>
        <v>4696.29</v>
      </c>
      <c r="L341" s="155">
        <v>21</v>
      </c>
      <c r="M341" s="155">
        <f>G341*(1+L341/100)</f>
        <v>0</v>
      </c>
      <c r="N341" s="154">
        <v>3.2000000000000003E-4</v>
      </c>
      <c r="O341" s="154">
        <f>ROUND(E341*N341,2)</f>
        <v>0.03</v>
      </c>
      <c r="P341" s="154">
        <v>0</v>
      </c>
      <c r="Q341" s="154">
        <f>ROUND(E341*P341,2)</f>
        <v>0</v>
      </c>
      <c r="R341" s="155"/>
      <c r="S341" s="155" t="s">
        <v>999</v>
      </c>
      <c r="T341" s="155" t="s">
        <v>999</v>
      </c>
      <c r="U341" s="155">
        <v>0.1</v>
      </c>
      <c r="V341" s="155">
        <f>ROUND(E341*U341,2)</f>
        <v>9</v>
      </c>
      <c r="W341" s="155"/>
      <c r="X341" s="155" t="s">
        <v>146</v>
      </c>
      <c r="Y341" s="155" t="s">
        <v>147</v>
      </c>
      <c r="Z341" s="145"/>
      <c r="AA341" s="145"/>
      <c r="AB341" s="145"/>
      <c r="AC341" s="145"/>
      <c r="AD341" s="145"/>
      <c r="AE341" s="145"/>
      <c r="AF341" s="145"/>
      <c r="AG341" s="145" t="s">
        <v>148</v>
      </c>
      <c r="AH341" s="145"/>
      <c r="AI341" s="145"/>
      <c r="AJ341" s="145"/>
      <c r="AK341" s="145"/>
      <c r="AL341" s="145"/>
      <c r="AM341" s="145"/>
      <c r="AN341" s="145"/>
      <c r="AO341" s="145"/>
      <c r="AP341" s="145"/>
      <c r="AQ341" s="145"/>
      <c r="AR341" s="145"/>
      <c r="AS341" s="145"/>
      <c r="AT341" s="145"/>
      <c r="AU341" s="145"/>
      <c r="AV341" s="145"/>
      <c r="AW341" s="145"/>
      <c r="AX341" s="145"/>
      <c r="AY341" s="145"/>
      <c r="AZ341" s="145"/>
      <c r="BA341" s="145"/>
      <c r="BB341" s="145"/>
      <c r="BC341" s="145"/>
      <c r="BD341" s="145"/>
      <c r="BE341" s="145"/>
      <c r="BF341" s="145"/>
      <c r="BG341" s="145"/>
      <c r="BH341" s="145"/>
    </row>
    <row r="342" spans="1:60" outlineLevel="2" x14ac:dyDescent="0.25">
      <c r="A342" s="152"/>
      <c r="B342" s="153"/>
      <c r="C342" s="187" t="s">
        <v>568</v>
      </c>
      <c r="D342" s="184"/>
      <c r="E342" s="185">
        <v>89.95</v>
      </c>
      <c r="F342" s="155"/>
      <c r="G342" s="155"/>
      <c r="H342" s="155"/>
      <c r="I342" s="155"/>
      <c r="J342" s="155"/>
      <c r="K342" s="155"/>
      <c r="L342" s="155"/>
      <c r="M342" s="155"/>
      <c r="N342" s="154"/>
      <c r="O342" s="154"/>
      <c r="P342" s="154"/>
      <c r="Q342" s="154"/>
      <c r="R342" s="155"/>
      <c r="S342" s="155"/>
      <c r="T342" s="155"/>
      <c r="U342" s="155"/>
      <c r="V342" s="155"/>
      <c r="W342" s="155"/>
      <c r="X342" s="155"/>
      <c r="Y342" s="155"/>
      <c r="Z342" s="145"/>
      <c r="AA342" s="145"/>
      <c r="AB342" s="145"/>
      <c r="AC342" s="145"/>
      <c r="AD342" s="145"/>
      <c r="AE342" s="145"/>
      <c r="AF342" s="145"/>
      <c r="AG342" s="145" t="s">
        <v>198</v>
      </c>
      <c r="AH342" s="145">
        <v>5</v>
      </c>
      <c r="AI342" s="145"/>
      <c r="AJ342" s="145"/>
      <c r="AK342" s="145"/>
      <c r="AL342" s="145"/>
      <c r="AM342" s="145"/>
      <c r="AN342" s="145"/>
      <c r="AO342" s="145"/>
      <c r="AP342" s="145"/>
      <c r="AQ342" s="145"/>
      <c r="AR342" s="145"/>
      <c r="AS342" s="145"/>
      <c r="AT342" s="145"/>
      <c r="AU342" s="145"/>
      <c r="AV342" s="145"/>
      <c r="AW342" s="145"/>
      <c r="AX342" s="145"/>
      <c r="AY342" s="145"/>
      <c r="AZ342" s="145"/>
      <c r="BA342" s="145"/>
      <c r="BB342" s="145"/>
      <c r="BC342" s="145"/>
      <c r="BD342" s="145"/>
      <c r="BE342" s="145"/>
      <c r="BF342" s="145"/>
      <c r="BG342" s="145"/>
      <c r="BH342" s="145"/>
    </row>
    <row r="343" spans="1:60" ht="20.399999999999999" outlineLevel="1" x14ac:dyDescent="0.25">
      <c r="A343" s="166">
        <v>138</v>
      </c>
      <c r="B343" s="167" t="s">
        <v>569</v>
      </c>
      <c r="C343" s="180" t="s">
        <v>570</v>
      </c>
      <c r="D343" s="168" t="s">
        <v>197</v>
      </c>
      <c r="E343" s="169">
        <v>60.851439999999997</v>
      </c>
      <c r="F343" s="170"/>
      <c r="G343" s="171">
        <f>ROUND(E343*F343,2)</f>
        <v>0</v>
      </c>
      <c r="H343" s="156">
        <v>61.88</v>
      </c>
      <c r="I343" s="155">
        <f>ROUND(E343*H343,2)</f>
        <v>3765.49</v>
      </c>
      <c r="J343" s="156">
        <v>50.62</v>
      </c>
      <c r="K343" s="155">
        <f>ROUND(E343*J343,2)</f>
        <v>3080.3</v>
      </c>
      <c r="L343" s="155">
        <v>21</v>
      </c>
      <c r="M343" s="155">
        <f>G343*(1+L343/100)</f>
        <v>0</v>
      </c>
      <c r="N343" s="154">
        <v>2.0000000000000001E-4</v>
      </c>
      <c r="O343" s="154">
        <f>ROUND(E343*N343,2)</f>
        <v>0.01</v>
      </c>
      <c r="P343" s="154">
        <v>0</v>
      </c>
      <c r="Q343" s="154">
        <f>ROUND(E343*P343,2)</f>
        <v>0</v>
      </c>
      <c r="R343" s="155"/>
      <c r="S343" s="155" t="s">
        <v>999</v>
      </c>
      <c r="T343" s="155" t="s">
        <v>999</v>
      </c>
      <c r="U343" s="155">
        <v>0.09</v>
      </c>
      <c r="V343" s="155">
        <f>ROUND(E343*U343,2)</f>
        <v>5.48</v>
      </c>
      <c r="W343" s="155"/>
      <c r="X343" s="155" t="s">
        <v>146</v>
      </c>
      <c r="Y343" s="155" t="s">
        <v>147</v>
      </c>
      <c r="Z343" s="145"/>
      <c r="AA343" s="145"/>
      <c r="AB343" s="145"/>
      <c r="AC343" s="145"/>
      <c r="AD343" s="145"/>
      <c r="AE343" s="145"/>
      <c r="AF343" s="145"/>
      <c r="AG343" s="145" t="s">
        <v>148</v>
      </c>
      <c r="AH343" s="145"/>
      <c r="AI343" s="145"/>
      <c r="AJ343" s="145"/>
      <c r="AK343" s="145"/>
      <c r="AL343" s="145"/>
      <c r="AM343" s="145"/>
      <c r="AN343" s="145"/>
      <c r="AO343" s="145"/>
      <c r="AP343" s="145"/>
      <c r="AQ343" s="145"/>
      <c r="AR343" s="145"/>
      <c r="AS343" s="145"/>
      <c r="AT343" s="145"/>
      <c r="AU343" s="145"/>
      <c r="AV343" s="145"/>
      <c r="AW343" s="145"/>
      <c r="AX343" s="145"/>
      <c r="AY343" s="145"/>
      <c r="AZ343" s="145"/>
      <c r="BA343" s="145"/>
      <c r="BB343" s="145"/>
      <c r="BC343" s="145"/>
      <c r="BD343" s="145"/>
      <c r="BE343" s="145"/>
      <c r="BF343" s="145"/>
      <c r="BG343" s="145"/>
      <c r="BH343" s="145"/>
    </row>
    <row r="344" spans="1:60" outlineLevel="2" x14ac:dyDescent="0.25">
      <c r="A344" s="152"/>
      <c r="B344" s="153"/>
      <c r="C344" s="187" t="s">
        <v>560</v>
      </c>
      <c r="D344" s="184"/>
      <c r="E344" s="185">
        <v>55.44</v>
      </c>
      <c r="F344" s="155"/>
      <c r="G344" s="155"/>
      <c r="H344" s="155"/>
      <c r="I344" s="155"/>
      <c r="J344" s="155"/>
      <c r="K344" s="155"/>
      <c r="L344" s="155"/>
      <c r="M344" s="155"/>
      <c r="N344" s="154"/>
      <c r="O344" s="154"/>
      <c r="P344" s="154"/>
      <c r="Q344" s="154"/>
      <c r="R344" s="155"/>
      <c r="S344" s="155"/>
      <c r="T344" s="155"/>
      <c r="U344" s="155"/>
      <c r="V344" s="155"/>
      <c r="W344" s="155"/>
      <c r="X344" s="155"/>
      <c r="Y344" s="155"/>
      <c r="Z344" s="145"/>
      <c r="AA344" s="145"/>
      <c r="AB344" s="145"/>
      <c r="AC344" s="145"/>
      <c r="AD344" s="145"/>
      <c r="AE344" s="145"/>
      <c r="AF344" s="145"/>
      <c r="AG344" s="145" t="s">
        <v>198</v>
      </c>
      <c r="AH344" s="145">
        <v>0</v>
      </c>
      <c r="AI344" s="145"/>
      <c r="AJ344" s="145"/>
      <c r="AK344" s="145"/>
      <c r="AL344" s="145"/>
      <c r="AM344" s="145"/>
      <c r="AN344" s="145"/>
      <c r="AO344" s="145"/>
      <c r="AP344" s="145"/>
      <c r="AQ344" s="145"/>
      <c r="AR344" s="145"/>
      <c r="AS344" s="145"/>
      <c r="AT344" s="145"/>
      <c r="AU344" s="145"/>
      <c r="AV344" s="145"/>
      <c r="AW344" s="145"/>
      <c r="AX344" s="145"/>
      <c r="AY344" s="145"/>
      <c r="AZ344" s="145"/>
      <c r="BA344" s="145"/>
      <c r="BB344" s="145"/>
      <c r="BC344" s="145"/>
      <c r="BD344" s="145"/>
      <c r="BE344" s="145"/>
      <c r="BF344" s="145"/>
      <c r="BG344" s="145"/>
      <c r="BH344" s="145"/>
    </row>
    <row r="345" spans="1:60" outlineLevel="3" x14ac:dyDescent="0.25">
      <c r="A345" s="152"/>
      <c r="B345" s="153"/>
      <c r="C345" s="187" t="s">
        <v>561</v>
      </c>
      <c r="D345" s="184"/>
      <c r="E345" s="185">
        <v>5.0114400000000003</v>
      </c>
      <c r="F345" s="155"/>
      <c r="G345" s="155"/>
      <c r="H345" s="155"/>
      <c r="I345" s="155"/>
      <c r="J345" s="155"/>
      <c r="K345" s="155"/>
      <c r="L345" s="155"/>
      <c r="M345" s="155"/>
      <c r="N345" s="154"/>
      <c r="O345" s="154"/>
      <c r="P345" s="154"/>
      <c r="Q345" s="154"/>
      <c r="R345" s="155"/>
      <c r="S345" s="155"/>
      <c r="T345" s="155"/>
      <c r="U345" s="155"/>
      <c r="V345" s="155"/>
      <c r="W345" s="155"/>
      <c r="X345" s="155"/>
      <c r="Y345" s="155"/>
      <c r="Z345" s="145"/>
      <c r="AA345" s="145"/>
      <c r="AB345" s="145"/>
      <c r="AC345" s="145"/>
      <c r="AD345" s="145"/>
      <c r="AE345" s="145"/>
      <c r="AF345" s="145"/>
      <c r="AG345" s="145" t="s">
        <v>198</v>
      </c>
      <c r="AH345" s="145">
        <v>0</v>
      </c>
      <c r="AI345" s="145"/>
      <c r="AJ345" s="145"/>
      <c r="AK345" s="145"/>
      <c r="AL345" s="145"/>
      <c r="AM345" s="145"/>
      <c r="AN345" s="145"/>
      <c r="AO345" s="145"/>
      <c r="AP345" s="145"/>
      <c r="AQ345" s="145"/>
      <c r="AR345" s="145"/>
      <c r="AS345" s="145"/>
      <c r="AT345" s="145"/>
      <c r="AU345" s="145"/>
      <c r="AV345" s="145"/>
      <c r="AW345" s="145"/>
      <c r="AX345" s="145"/>
      <c r="AY345" s="145"/>
      <c r="AZ345" s="145"/>
      <c r="BA345" s="145"/>
      <c r="BB345" s="145"/>
      <c r="BC345" s="145"/>
      <c r="BD345" s="145"/>
      <c r="BE345" s="145"/>
      <c r="BF345" s="145"/>
      <c r="BG345" s="145"/>
      <c r="BH345" s="145"/>
    </row>
    <row r="346" spans="1:60" outlineLevel="3" x14ac:dyDescent="0.25">
      <c r="A346" s="152"/>
      <c r="B346" s="153"/>
      <c r="C346" s="187" t="s">
        <v>562</v>
      </c>
      <c r="D346" s="184"/>
      <c r="E346" s="185">
        <v>0.4</v>
      </c>
      <c r="F346" s="155"/>
      <c r="G346" s="155"/>
      <c r="H346" s="155"/>
      <c r="I346" s="155"/>
      <c r="J346" s="155"/>
      <c r="K346" s="155"/>
      <c r="L346" s="155"/>
      <c r="M346" s="155"/>
      <c r="N346" s="154"/>
      <c r="O346" s="154"/>
      <c r="P346" s="154"/>
      <c r="Q346" s="154"/>
      <c r="R346" s="155"/>
      <c r="S346" s="155"/>
      <c r="T346" s="155"/>
      <c r="U346" s="155"/>
      <c r="V346" s="155"/>
      <c r="W346" s="155"/>
      <c r="X346" s="155"/>
      <c r="Y346" s="155"/>
      <c r="Z346" s="145"/>
      <c r="AA346" s="145"/>
      <c r="AB346" s="145"/>
      <c r="AC346" s="145"/>
      <c r="AD346" s="145"/>
      <c r="AE346" s="145"/>
      <c r="AF346" s="145"/>
      <c r="AG346" s="145" t="s">
        <v>198</v>
      </c>
      <c r="AH346" s="145">
        <v>0</v>
      </c>
      <c r="AI346" s="145"/>
      <c r="AJ346" s="145"/>
      <c r="AK346" s="145"/>
      <c r="AL346" s="145"/>
      <c r="AM346" s="145"/>
      <c r="AN346" s="145"/>
      <c r="AO346" s="145"/>
      <c r="AP346" s="145"/>
      <c r="AQ346" s="145"/>
      <c r="AR346" s="145"/>
      <c r="AS346" s="145"/>
      <c r="AT346" s="145"/>
      <c r="AU346" s="145"/>
      <c r="AV346" s="145"/>
      <c r="AW346" s="145"/>
      <c r="AX346" s="145"/>
      <c r="AY346" s="145"/>
      <c r="AZ346" s="145"/>
      <c r="BA346" s="145"/>
      <c r="BB346" s="145"/>
      <c r="BC346" s="145"/>
      <c r="BD346" s="145"/>
      <c r="BE346" s="145"/>
      <c r="BF346" s="145"/>
      <c r="BG346" s="145"/>
      <c r="BH346" s="145"/>
    </row>
    <row r="347" spans="1:60" x14ac:dyDescent="0.25">
      <c r="A347" s="159" t="s">
        <v>139</v>
      </c>
      <c r="B347" s="160" t="s">
        <v>107</v>
      </c>
      <c r="C347" s="178" t="s">
        <v>108</v>
      </c>
      <c r="D347" s="161"/>
      <c r="E347" s="162"/>
      <c r="F347" s="163"/>
      <c r="G347" s="164">
        <f>SUMIF(AG348:AG349,"&lt;&gt;NOR",G348:G349)</f>
        <v>0</v>
      </c>
      <c r="H347" s="158"/>
      <c r="I347" s="158">
        <f>SUM(I348:I349)</f>
        <v>256.82</v>
      </c>
      <c r="J347" s="158"/>
      <c r="K347" s="158">
        <f>SUM(K348:K349)</f>
        <v>4228.29</v>
      </c>
      <c r="L347" s="158"/>
      <c r="M347" s="158">
        <f>SUM(M348:M349)</f>
        <v>0</v>
      </c>
      <c r="N347" s="157"/>
      <c r="O347" s="157">
        <f>SUM(O348:O349)</f>
        <v>0.01</v>
      </c>
      <c r="P347" s="157"/>
      <c r="Q347" s="157">
        <f>SUM(Q348:Q349)</f>
        <v>0</v>
      </c>
      <c r="R347" s="158"/>
      <c r="S347" s="158"/>
      <c r="T347" s="158"/>
      <c r="U347" s="158"/>
      <c r="V347" s="158">
        <f>SUM(V348:V349)</f>
        <v>5.97</v>
      </c>
      <c r="W347" s="158"/>
      <c r="X347" s="158"/>
      <c r="Y347" s="158"/>
      <c r="AG347" t="s">
        <v>140</v>
      </c>
    </row>
    <row r="348" spans="1:60" outlineLevel="1" x14ac:dyDescent="0.25">
      <c r="A348" s="172">
        <v>139</v>
      </c>
      <c r="B348" s="173" t="s">
        <v>571</v>
      </c>
      <c r="C348" s="179" t="s">
        <v>572</v>
      </c>
      <c r="D348" s="174" t="s">
        <v>197</v>
      </c>
      <c r="E348" s="175">
        <v>45.86</v>
      </c>
      <c r="F348" s="176"/>
      <c r="G348" s="177">
        <f>ROUND(E348*F348,2)</f>
        <v>0</v>
      </c>
      <c r="H348" s="156">
        <v>5.6</v>
      </c>
      <c r="I348" s="155">
        <f>ROUND(E348*H348,2)</f>
        <v>256.82</v>
      </c>
      <c r="J348" s="156">
        <v>17.7</v>
      </c>
      <c r="K348" s="155">
        <f>ROUND(E348*J348,2)</f>
        <v>811.72</v>
      </c>
      <c r="L348" s="155">
        <v>21</v>
      </c>
      <c r="M348" s="155">
        <f>G348*(1+L348/100)</f>
        <v>0</v>
      </c>
      <c r="N348" s="154">
        <v>6.9999999999999994E-5</v>
      </c>
      <c r="O348" s="154">
        <f>ROUND(E348*N348,2)</f>
        <v>0</v>
      </c>
      <c r="P348" s="154">
        <v>0</v>
      </c>
      <c r="Q348" s="154">
        <f>ROUND(E348*P348,2)</f>
        <v>0</v>
      </c>
      <c r="R348" s="155"/>
      <c r="S348" s="155" t="s">
        <v>999</v>
      </c>
      <c r="T348" s="155" t="s">
        <v>999</v>
      </c>
      <c r="U348" s="155">
        <v>0.03</v>
      </c>
      <c r="V348" s="155">
        <f>ROUND(E348*U348,2)</f>
        <v>1.38</v>
      </c>
      <c r="W348" s="155"/>
      <c r="X348" s="155" t="s">
        <v>146</v>
      </c>
      <c r="Y348" s="155" t="s">
        <v>147</v>
      </c>
      <c r="Z348" s="145"/>
      <c r="AA348" s="145"/>
      <c r="AB348" s="145"/>
      <c r="AC348" s="145"/>
      <c r="AD348" s="145"/>
      <c r="AE348" s="145"/>
      <c r="AF348" s="145"/>
      <c r="AG348" s="145" t="s">
        <v>148</v>
      </c>
      <c r="AH348" s="145"/>
      <c r="AI348" s="145"/>
      <c r="AJ348" s="145"/>
      <c r="AK348" s="145"/>
      <c r="AL348" s="145"/>
      <c r="AM348" s="145"/>
      <c r="AN348" s="145"/>
      <c r="AO348" s="145"/>
      <c r="AP348" s="145"/>
      <c r="AQ348" s="145"/>
      <c r="AR348" s="145"/>
      <c r="AS348" s="145"/>
      <c r="AT348" s="145"/>
      <c r="AU348" s="145"/>
      <c r="AV348" s="145"/>
      <c r="AW348" s="145"/>
      <c r="AX348" s="145"/>
      <c r="AY348" s="145"/>
      <c r="AZ348" s="145"/>
      <c r="BA348" s="145"/>
      <c r="BB348" s="145"/>
      <c r="BC348" s="145"/>
      <c r="BD348" s="145"/>
      <c r="BE348" s="145"/>
      <c r="BF348" s="145"/>
      <c r="BG348" s="145"/>
      <c r="BH348" s="145"/>
    </row>
    <row r="349" spans="1:60" ht="20.399999999999999" outlineLevel="1" x14ac:dyDescent="0.25">
      <c r="A349" s="166">
        <v>140</v>
      </c>
      <c r="B349" s="167" t="s">
        <v>573</v>
      </c>
      <c r="C349" s="180" t="s">
        <v>574</v>
      </c>
      <c r="D349" s="168" t="s">
        <v>197</v>
      </c>
      <c r="E349" s="169">
        <v>45.86</v>
      </c>
      <c r="F349" s="170"/>
      <c r="G349" s="171">
        <f>ROUND(E349*F349,2)</f>
        <v>0</v>
      </c>
      <c r="H349" s="156">
        <v>0</v>
      </c>
      <c r="I349" s="155">
        <f>ROUND(E349*H349,2)</f>
        <v>0</v>
      </c>
      <c r="J349" s="156">
        <v>74.5</v>
      </c>
      <c r="K349" s="155">
        <f>ROUND(E349*J349,2)</f>
        <v>3416.57</v>
      </c>
      <c r="L349" s="155">
        <v>21</v>
      </c>
      <c r="M349" s="155">
        <f>G349*(1+L349/100)</f>
        <v>0</v>
      </c>
      <c r="N349" s="154">
        <v>2.9E-4</v>
      </c>
      <c r="O349" s="154">
        <f>ROUND(E349*N349,2)</f>
        <v>0.01</v>
      </c>
      <c r="P349" s="154">
        <v>0</v>
      </c>
      <c r="Q349" s="154">
        <f>ROUND(E349*P349,2)</f>
        <v>0</v>
      </c>
      <c r="R349" s="155"/>
      <c r="S349" s="155" t="s">
        <v>144</v>
      </c>
      <c r="T349" s="155" t="s">
        <v>999</v>
      </c>
      <c r="U349" s="155">
        <v>0.1</v>
      </c>
      <c r="V349" s="155">
        <f>ROUND(E349*U349,2)</f>
        <v>4.59</v>
      </c>
      <c r="W349" s="155"/>
      <c r="X349" s="155" t="s">
        <v>146</v>
      </c>
      <c r="Y349" s="155" t="s">
        <v>147</v>
      </c>
      <c r="Z349" s="145"/>
      <c r="AA349" s="145"/>
      <c r="AB349" s="145"/>
      <c r="AC349" s="145"/>
      <c r="AD349" s="145"/>
      <c r="AE349" s="145"/>
      <c r="AF349" s="145"/>
      <c r="AG349" s="145" t="s">
        <v>148</v>
      </c>
      <c r="AH349" s="145"/>
      <c r="AI349" s="145"/>
      <c r="AJ349" s="145"/>
      <c r="AK349" s="145"/>
      <c r="AL349" s="145"/>
      <c r="AM349" s="145"/>
      <c r="AN349" s="145"/>
      <c r="AO349" s="145"/>
      <c r="AP349" s="145"/>
      <c r="AQ349" s="145"/>
      <c r="AR349" s="145"/>
      <c r="AS349" s="145"/>
      <c r="AT349" s="145"/>
      <c r="AU349" s="145"/>
      <c r="AV349" s="145"/>
      <c r="AW349" s="145"/>
      <c r="AX349" s="145"/>
      <c r="AY349" s="145"/>
      <c r="AZ349" s="145"/>
      <c r="BA349" s="145"/>
      <c r="BB349" s="145"/>
      <c r="BC349" s="145"/>
      <c r="BD349" s="145"/>
      <c r="BE349" s="145"/>
      <c r="BF349" s="145"/>
      <c r="BG349" s="145"/>
      <c r="BH349" s="145"/>
    </row>
    <row r="350" spans="1:60" x14ac:dyDescent="0.25">
      <c r="A350" s="3"/>
      <c r="B350" s="4"/>
      <c r="C350" s="181"/>
      <c r="D350" s="6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AE350">
        <v>15</v>
      </c>
      <c r="AF350">
        <v>21</v>
      </c>
      <c r="AG350" t="s">
        <v>125</v>
      </c>
    </row>
    <row r="351" spans="1:60" x14ac:dyDescent="0.25">
      <c r="A351" s="148"/>
      <c r="B351" s="149" t="s">
        <v>31</v>
      </c>
      <c r="C351" s="182"/>
      <c r="D351" s="150"/>
      <c r="E351" s="151"/>
      <c r="F351" s="151"/>
      <c r="G351" s="165">
        <f>G8+G24+G40+G66+G85+G88+G96+G104+G111+G117+G120+G161+G197+G209+G222+G228+G236+G250+G292+G303+G321+G332+G347</f>
        <v>0</v>
      </c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AE351">
        <f>SUMIF(L7:L349,AE350,G7:G349)</f>
        <v>0</v>
      </c>
      <c r="AF351">
        <f>SUMIF(L7:L349,AF350,G7:G349)</f>
        <v>0</v>
      </c>
      <c r="AG351" t="s">
        <v>155</v>
      </c>
    </row>
    <row r="352" spans="1:60" x14ac:dyDescent="0.25">
      <c r="A352" s="3"/>
      <c r="B352" s="4"/>
      <c r="C352" s="181"/>
      <c r="D352" s="6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</row>
    <row r="353" spans="1:33" x14ac:dyDescent="0.25">
      <c r="A353" s="3"/>
      <c r="B353" s="4"/>
      <c r="C353" s="181"/>
      <c r="D353" s="6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</row>
    <row r="354" spans="1:33" x14ac:dyDescent="0.25">
      <c r="A354" s="531" t="s">
        <v>156</v>
      </c>
      <c r="B354" s="531"/>
      <c r="C354" s="532"/>
      <c r="D354" s="6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</row>
    <row r="355" spans="1:33" x14ac:dyDescent="0.25">
      <c r="A355" s="512"/>
      <c r="B355" s="513"/>
      <c r="C355" s="514"/>
      <c r="D355" s="513"/>
      <c r="E355" s="513"/>
      <c r="F355" s="513"/>
      <c r="G355" s="515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AG355" t="s">
        <v>157</v>
      </c>
    </row>
    <row r="356" spans="1:33" x14ac:dyDescent="0.25">
      <c r="A356" s="516"/>
      <c r="B356" s="517"/>
      <c r="C356" s="518"/>
      <c r="D356" s="517"/>
      <c r="E356" s="517"/>
      <c r="F356" s="517"/>
      <c r="G356" s="519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</row>
    <row r="357" spans="1:33" x14ac:dyDescent="0.25">
      <c r="A357" s="516"/>
      <c r="B357" s="517"/>
      <c r="C357" s="518"/>
      <c r="D357" s="517"/>
      <c r="E357" s="517"/>
      <c r="F357" s="517"/>
      <c r="G357" s="519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</row>
    <row r="358" spans="1:33" x14ac:dyDescent="0.25">
      <c r="A358" s="516"/>
      <c r="B358" s="517"/>
      <c r="C358" s="518"/>
      <c r="D358" s="517"/>
      <c r="E358" s="517"/>
      <c r="F358" s="517"/>
      <c r="G358" s="519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</row>
    <row r="359" spans="1:33" x14ac:dyDescent="0.25">
      <c r="A359" s="520"/>
      <c r="B359" s="521"/>
      <c r="C359" s="522"/>
      <c r="D359" s="521"/>
      <c r="E359" s="521"/>
      <c r="F359" s="521"/>
      <c r="G359" s="52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</row>
    <row r="360" spans="1:33" x14ac:dyDescent="0.25">
      <c r="A360" s="3"/>
      <c r="B360" s="4"/>
      <c r="C360" s="181"/>
      <c r="D360" s="6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</row>
    <row r="361" spans="1:33" x14ac:dyDescent="0.25">
      <c r="C361" s="183"/>
      <c r="D361" s="10"/>
      <c r="AG361" t="s">
        <v>158</v>
      </c>
    </row>
    <row r="362" spans="1:33" x14ac:dyDescent="0.25">
      <c r="D362" s="10"/>
    </row>
    <row r="363" spans="1:33" x14ac:dyDescent="0.25">
      <c r="D363" s="10"/>
    </row>
    <row r="364" spans="1:33" x14ac:dyDescent="0.25">
      <c r="D364" s="10"/>
    </row>
    <row r="365" spans="1:33" x14ac:dyDescent="0.25">
      <c r="D365" s="10"/>
    </row>
    <row r="366" spans="1:33" x14ac:dyDescent="0.25">
      <c r="D366" s="10"/>
    </row>
    <row r="367" spans="1:33" x14ac:dyDescent="0.25">
      <c r="D367" s="10"/>
    </row>
    <row r="368" spans="1:33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</sheetData>
  <sheetProtection algorithmName="SHA-512" hashValue="BaprBKBmesAzXc/6bodIVpcgPYIZn3FYAEpVUs393FCIVS03VVF1HsEsgz4CN6POoAjK6EqRwWRVN301Mvovqw==" saltValue="vXfB/UL7vgsaj2rhc0eOVA==" spinCount="100000" sheet="1" objects="1" scenarios="1"/>
  <mergeCells count="17">
    <mergeCell ref="C238:G238"/>
    <mergeCell ref="C240:G240"/>
    <mergeCell ref="A355:G359"/>
    <mergeCell ref="C30:G30"/>
    <mergeCell ref="A1:G1"/>
    <mergeCell ref="C2:G2"/>
    <mergeCell ref="C3:G3"/>
    <mergeCell ref="C4:G4"/>
    <mergeCell ref="A354:C354"/>
    <mergeCell ref="C269:G269"/>
    <mergeCell ref="C323:G323"/>
    <mergeCell ref="C338:G338"/>
    <mergeCell ref="C258:G258"/>
    <mergeCell ref="C100:G100"/>
    <mergeCell ref="C106:G106"/>
    <mergeCell ref="C163:G163"/>
    <mergeCell ref="C201:G201"/>
  </mergeCells>
  <phoneticPr fontId="16" type="noConversion"/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ignoredErrors>
    <ignoredError sqref="E26 E33 G117 G104 G96 G24 G303 E10" formula="1"/>
    <ignoredError sqref="E180" formulaRange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11" sqref="C11"/>
    </sheetView>
  </sheetViews>
  <sheetFormatPr defaultRowHeight="13.2" outlineLevelRow="1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24" t="s">
        <v>7</v>
      </c>
      <c r="B1" s="524"/>
      <c r="C1" s="524"/>
      <c r="D1" s="524"/>
      <c r="E1" s="524"/>
      <c r="F1" s="524"/>
      <c r="G1" s="524"/>
      <c r="AG1" t="s">
        <v>113</v>
      </c>
    </row>
    <row r="2" spans="1:60" ht="25.2" customHeight="1" x14ac:dyDescent="0.25">
      <c r="A2" s="137" t="s">
        <v>8</v>
      </c>
      <c r="B2" s="49" t="s">
        <v>41</v>
      </c>
      <c r="C2" s="525" t="s">
        <v>42</v>
      </c>
      <c r="D2" s="526"/>
      <c r="E2" s="526"/>
      <c r="F2" s="526"/>
      <c r="G2" s="527"/>
      <c r="AG2" t="s">
        <v>114</v>
      </c>
    </row>
    <row r="3" spans="1:60" ht="25.2" customHeight="1" x14ac:dyDescent="0.25">
      <c r="A3" s="137" t="s">
        <v>9</v>
      </c>
      <c r="B3" s="49" t="s">
        <v>41</v>
      </c>
      <c r="C3" s="525" t="s">
        <v>44</v>
      </c>
      <c r="D3" s="526"/>
      <c r="E3" s="526"/>
      <c r="F3" s="526"/>
      <c r="G3" s="527"/>
      <c r="AC3" s="118" t="s">
        <v>114</v>
      </c>
      <c r="AG3" t="s">
        <v>115</v>
      </c>
    </row>
    <row r="4" spans="1:60" ht="25.2" customHeight="1" x14ac:dyDescent="0.25">
      <c r="A4" s="138" t="s">
        <v>10</v>
      </c>
      <c r="B4" s="139" t="s">
        <v>45</v>
      </c>
      <c r="C4" s="528" t="s">
        <v>46</v>
      </c>
      <c r="D4" s="529"/>
      <c r="E4" s="529"/>
      <c r="F4" s="529"/>
      <c r="G4" s="530"/>
      <c r="AG4" t="s">
        <v>116</v>
      </c>
    </row>
    <row r="5" spans="1:60" x14ac:dyDescent="0.25">
      <c r="D5" s="10"/>
    </row>
    <row r="6" spans="1:60" ht="39.6" x14ac:dyDescent="0.25">
      <c r="A6" s="141" t="s">
        <v>117</v>
      </c>
      <c r="B6" s="143" t="s">
        <v>118</v>
      </c>
      <c r="C6" s="143" t="s">
        <v>119</v>
      </c>
      <c r="D6" s="142" t="s">
        <v>120</v>
      </c>
      <c r="E6" s="141" t="s">
        <v>121</v>
      </c>
      <c r="F6" s="140" t="s">
        <v>122</v>
      </c>
      <c r="G6" s="141" t="s">
        <v>31</v>
      </c>
      <c r="H6" s="144" t="s">
        <v>32</v>
      </c>
      <c r="I6" s="144" t="s">
        <v>123</v>
      </c>
      <c r="J6" s="144" t="s">
        <v>33</v>
      </c>
      <c r="K6" s="144" t="s">
        <v>124</v>
      </c>
      <c r="L6" s="144" t="s">
        <v>125</v>
      </c>
      <c r="M6" s="144" t="s">
        <v>126</v>
      </c>
      <c r="N6" s="144" t="s">
        <v>127</v>
      </c>
      <c r="O6" s="144" t="s">
        <v>128</v>
      </c>
      <c r="P6" s="144" t="s">
        <v>129</v>
      </c>
      <c r="Q6" s="144" t="s">
        <v>130</v>
      </c>
      <c r="R6" s="144" t="s">
        <v>131</v>
      </c>
      <c r="S6" s="144" t="s">
        <v>132</v>
      </c>
      <c r="T6" s="144" t="s">
        <v>133</v>
      </c>
      <c r="U6" s="144" t="s">
        <v>134</v>
      </c>
      <c r="V6" s="144" t="s">
        <v>135</v>
      </c>
      <c r="W6" s="144" t="s">
        <v>136</v>
      </c>
      <c r="X6" s="144" t="s">
        <v>137</v>
      </c>
      <c r="Y6" s="144" t="s">
        <v>138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59" t="s">
        <v>139</v>
      </c>
      <c r="B8" s="160" t="s">
        <v>45</v>
      </c>
      <c r="C8" s="178" t="s">
        <v>46</v>
      </c>
      <c r="D8" s="161"/>
      <c r="E8" s="162"/>
      <c r="F8" s="163"/>
      <c r="G8" s="164">
        <f>SUMIF(AG9:AG12,"&lt;&gt;NOR",G9:G12)</f>
        <v>0</v>
      </c>
      <c r="H8" s="158"/>
      <c r="I8" s="158">
        <f>SUM(I9:I12)</f>
        <v>0</v>
      </c>
      <c r="J8" s="158"/>
      <c r="K8" s="158">
        <f>SUM(K9:K12)</f>
        <v>1120769.04</v>
      </c>
      <c r="L8" s="158"/>
      <c r="M8" s="158">
        <f>SUM(M9:M12)</f>
        <v>0</v>
      </c>
      <c r="N8" s="157"/>
      <c r="O8" s="157">
        <f>SUM(O9:O12)</f>
        <v>0</v>
      </c>
      <c r="P8" s="157"/>
      <c r="Q8" s="157">
        <f>SUM(Q9:Q12)</f>
        <v>0</v>
      </c>
      <c r="R8" s="158"/>
      <c r="S8" s="158"/>
      <c r="T8" s="158"/>
      <c r="U8" s="158"/>
      <c r="V8" s="158">
        <f>SUM(V9:V12)</f>
        <v>0</v>
      </c>
      <c r="W8" s="158"/>
      <c r="X8" s="158"/>
      <c r="Y8" s="158"/>
      <c r="AG8" t="s">
        <v>140</v>
      </c>
    </row>
    <row r="9" spans="1:60" outlineLevel="1" x14ac:dyDescent="0.25">
      <c r="A9" s="172">
        <v>1</v>
      </c>
      <c r="B9" s="173" t="s">
        <v>141</v>
      </c>
      <c r="C9" s="179" t="s">
        <v>142</v>
      </c>
      <c r="D9" s="174" t="s">
        <v>143</v>
      </c>
      <c r="E9" s="175">
        <v>1</v>
      </c>
      <c r="F9" s="256">
        <f>'D 1.4.1 ZTI'!K124</f>
        <v>0</v>
      </c>
      <c r="G9" s="177">
        <f>ROUND(E9*F9,2)</f>
        <v>0</v>
      </c>
      <c r="H9" s="156">
        <v>0</v>
      </c>
      <c r="I9" s="155">
        <f>ROUND(E9*H9,2)</f>
        <v>0</v>
      </c>
      <c r="J9" s="156">
        <v>280000</v>
      </c>
      <c r="K9" s="155">
        <f>ROUND(E9*J9,2)</f>
        <v>280000</v>
      </c>
      <c r="L9" s="155">
        <v>21</v>
      </c>
      <c r="M9" s="155">
        <f>G9*(1+L9/100)</f>
        <v>0</v>
      </c>
      <c r="N9" s="154">
        <v>0</v>
      </c>
      <c r="O9" s="154">
        <f>ROUND(E9*N9,2)</f>
        <v>0</v>
      </c>
      <c r="P9" s="154">
        <v>0</v>
      </c>
      <c r="Q9" s="154">
        <f>ROUND(E9*P9,2)</f>
        <v>0</v>
      </c>
      <c r="R9" s="155"/>
      <c r="S9" s="155" t="s">
        <v>144</v>
      </c>
      <c r="T9" s="155" t="s">
        <v>145</v>
      </c>
      <c r="U9" s="155">
        <v>0</v>
      </c>
      <c r="V9" s="155">
        <f>ROUND(E9*U9,2)</f>
        <v>0</v>
      </c>
      <c r="W9" s="155"/>
      <c r="X9" s="155" t="s">
        <v>146</v>
      </c>
      <c r="Y9" s="155" t="s">
        <v>147</v>
      </c>
      <c r="Z9" s="145"/>
      <c r="AA9" s="145"/>
      <c r="AB9" s="145"/>
      <c r="AC9" s="145"/>
      <c r="AD9" s="145"/>
      <c r="AE9" s="145"/>
      <c r="AF9" s="145"/>
      <c r="AG9" s="145" t="s">
        <v>148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5">
      <c r="A10" s="172">
        <v>2</v>
      </c>
      <c r="B10" s="173" t="s">
        <v>149</v>
      </c>
      <c r="C10" s="179" t="s">
        <v>150</v>
      </c>
      <c r="D10" s="174" t="s">
        <v>143</v>
      </c>
      <c r="E10" s="175">
        <v>1</v>
      </c>
      <c r="F10" s="256">
        <f>'D 1.4.2 Elektroinstalace'!K5</f>
        <v>0</v>
      </c>
      <c r="G10" s="177">
        <f>ROUND(E10*F10,2)</f>
        <v>0</v>
      </c>
      <c r="H10" s="156">
        <v>0</v>
      </c>
      <c r="I10" s="155">
        <f>ROUND(E10*H10,2)</f>
        <v>0</v>
      </c>
      <c r="J10" s="156">
        <v>305498</v>
      </c>
      <c r="K10" s="155">
        <f>ROUND(E10*J10,2)</f>
        <v>305498</v>
      </c>
      <c r="L10" s="155">
        <v>21</v>
      </c>
      <c r="M10" s="155">
        <f>G10*(1+L10/100)</f>
        <v>0</v>
      </c>
      <c r="N10" s="154">
        <v>0</v>
      </c>
      <c r="O10" s="154">
        <f>ROUND(E10*N10,2)</f>
        <v>0</v>
      </c>
      <c r="P10" s="154">
        <v>0</v>
      </c>
      <c r="Q10" s="154">
        <f>ROUND(E10*P10,2)</f>
        <v>0</v>
      </c>
      <c r="R10" s="155"/>
      <c r="S10" s="155" t="s">
        <v>144</v>
      </c>
      <c r="T10" s="155" t="s">
        <v>145</v>
      </c>
      <c r="U10" s="155">
        <v>0</v>
      </c>
      <c r="V10" s="155">
        <f>ROUND(E10*U10,2)</f>
        <v>0</v>
      </c>
      <c r="W10" s="155"/>
      <c r="X10" s="155" t="s">
        <v>146</v>
      </c>
      <c r="Y10" s="155" t="s">
        <v>147</v>
      </c>
      <c r="Z10" s="145"/>
      <c r="AA10" s="145"/>
      <c r="AB10" s="145"/>
      <c r="AC10" s="145"/>
      <c r="AD10" s="145"/>
      <c r="AE10" s="145"/>
      <c r="AF10" s="145"/>
      <c r="AG10" s="145" t="s">
        <v>148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5">
      <c r="A11" s="172">
        <v>3</v>
      </c>
      <c r="B11" s="173" t="s">
        <v>151</v>
      </c>
      <c r="C11" s="179" t="s">
        <v>152</v>
      </c>
      <c r="D11" s="174" t="s">
        <v>143</v>
      </c>
      <c r="E11" s="175">
        <v>1</v>
      </c>
      <c r="F11" s="256">
        <f>'D 1.4.4 Vzduchotechnika'!G29</f>
        <v>0</v>
      </c>
      <c r="G11" s="177">
        <f>ROUND(E11*F11,2)</f>
        <v>0</v>
      </c>
      <c r="H11" s="156">
        <v>0</v>
      </c>
      <c r="I11" s="155">
        <f>ROUND(E11*H11,2)</f>
        <v>0</v>
      </c>
      <c r="J11" s="156">
        <v>8759.8700000000008</v>
      </c>
      <c r="K11" s="155">
        <f>ROUND(E11*J11,2)</f>
        <v>8759.8700000000008</v>
      </c>
      <c r="L11" s="155">
        <v>21</v>
      </c>
      <c r="M11" s="155">
        <f>G11*(1+L11/100)</f>
        <v>0</v>
      </c>
      <c r="N11" s="154">
        <v>0</v>
      </c>
      <c r="O11" s="154">
        <f>ROUND(E11*N11,2)</f>
        <v>0</v>
      </c>
      <c r="P11" s="154">
        <v>0</v>
      </c>
      <c r="Q11" s="154">
        <f>ROUND(E11*P11,2)</f>
        <v>0</v>
      </c>
      <c r="R11" s="155"/>
      <c r="S11" s="155" t="s">
        <v>144</v>
      </c>
      <c r="T11" s="155" t="s">
        <v>145</v>
      </c>
      <c r="U11" s="155">
        <v>0</v>
      </c>
      <c r="V11" s="155">
        <f>ROUND(E11*U11,2)</f>
        <v>0</v>
      </c>
      <c r="W11" s="155"/>
      <c r="X11" s="155" t="s">
        <v>146</v>
      </c>
      <c r="Y11" s="155" t="s">
        <v>147</v>
      </c>
      <c r="Z11" s="145"/>
      <c r="AA11" s="145"/>
      <c r="AB11" s="145"/>
      <c r="AC11" s="145"/>
      <c r="AD11" s="145"/>
      <c r="AE11" s="145"/>
      <c r="AF11" s="145"/>
      <c r="AG11" s="145" t="s">
        <v>148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5">
      <c r="A12" s="166">
        <v>4</v>
      </c>
      <c r="B12" s="167" t="s">
        <v>153</v>
      </c>
      <c r="C12" s="180" t="s">
        <v>154</v>
      </c>
      <c r="D12" s="168" t="s">
        <v>143</v>
      </c>
      <c r="E12" s="169">
        <v>1</v>
      </c>
      <c r="F12" s="257">
        <f>'D 1.4.5 Slaboproud'!F3+'D 1.4.5 Slaboproud'!H3</f>
        <v>0</v>
      </c>
      <c r="G12" s="171">
        <f>ROUND(E12*F12,2)</f>
        <v>0</v>
      </c>
      <c r="H12" s="156">
        <v>0</v>
      </c>
      <c r="I12" s="155">
        <f>ROUND(E12*H12,2)</f>
        <v>0</v>
      </c>
      <c r="J12" s="156">
        <v>526511.17000000004</v>
      </c>
      <c r="K12" s="155">
        <f>ROUND(E12*J12,2)</f>
        <v>526511.17000000004</v>
      </c>
      <c r="L12" s="155">
        <v>21</v>
      </c>
      <c r="M12" s="155">
        <f>G12*(1+L12/100)</f>
        <v>0</v>
      </c>
      <c r="N12" s="154">
        <v>0</v>
      </c>
      <c r="O12" s="154">
        <f>ROUND(E12*N12,2)</f>
        <v>0</v>
      </c>
      <c r="P12" s="154">
        <v>0</v>
      </c>
      <c r="Q12" s="154">
        <f>ROUND(E12*P12,2)</f>
        <v>0</v>
      </c>
      <c r="R12" s="155"/>
      <c r="S12" s="155" t="s">
        <v>144</v>
      </c>
      <c r="T12" s="155" t="s">
        <v>145</v>
      </c>
      <c r="U12" s="155">
        <v>0</v>
      </c>
      <c r="V12" s="155">
        <f>ROUND(E12*U12,2)</f>
        <v>0</v>
      </c>
      <c r="W12" s="155"/>
      <c r="X12" s="155" t="s">
        <v>146</v>
      </c>
      <c r="Y12" s="155" t="s">
        <v>147</v>
      </c>
      <c r="Z12" s="145"/>
      <c r="AA12" s="145"/>
      <c r="AB12" s="145"/>
      <c r="AC12" s="145"/>
      <c r="AD12" s="145"/>
      <c r="AE12" s="145"/>
      <c r="AF12" s="145"/>
      <c r="AG12" s="145" t="s">
        <v>148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x14ac:dyDescent="0.25">
      <c r="A13" s="3"/>
      <c r="B13" s="4"/>
      <c r="C13" s="181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AE13">
        <v>15</v>
      </c>
      <c r="AF13">
        <v>21</v>
      </c>
      <c r="AG13" t="s">
        <v>125</v>
      </c>
    </row>
    <row r="14" spans="1:60" x14ac:dyDescent="0.25">
      <c r="A14" s="148"/>
      <c r="B14" s="149" t="s">
        <v>31</v>
      </c>
      <c r="C14" s="182"/>
      <c r="D14" s="150"/>
      <c r="E14" s="151"/>
      <c r="F14" s="151"/>
      <c r="G14" s="165">
        <f>G8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AE14">
        <f>SUMIF(L7:L12,AE13,G7:G12)</f>
        <v>0</v>
      </c>
      <c r="AF14">
        <f>SUMIF(L7:L12,AF13,G7:G12)</f>
        <v>0</v>
      </c>
      <c r="AG14" t="s">
        <v>155</v>
      </c>
    </row>
    <row r="15" spans="1:60" x14ac:dyDescent="0.25">
      <c r="A15" s="3"/>
      <c r="B15" s="4"/>
      <c r="C15" s="181"/>
      <c r="D15" s="6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60" x14ac:dyDescent="0.25">
      <c r="A16" s="3"/>
      <c r="B16" s="4"/>
      <c r="C16" s="181"/>
      <c r="D16" s="6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33" x14ac:dyDescent="0.25">
      <c r="A17" s="531" t="s">
        <v>156</v>
      </c>
      <c r="B17" s="531"/>
      <c r="C17" s="532"/>
      <c r="D17" s="6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33" x14ac:dyDescent="0.25">
      <c r="A18" s="512"/>
      <c r="B18" s="513"/>
      <c r="C18" s="514"/>
      <c r="D18" s="513"/>
      <c r="E18" s="513"/>
      <c r="F18" s="513"/>
      <c r="G18" s="515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G18" t="s">
        <v>157</v>
      </c>
    </row>
    <row r="19" spans="1:33" x14ac:dyDescent="0.25">
      <c r="A19" s="516"/>
      <c r="B19" s="517"/>
      <c r="C19" s="518"/>
      <c r="D19" s="517"/>
      <c r="E19" s="517"/>
      <c r="F19" s="517"/>
      <c r="G19" s="51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33" x14ac:dyDescent="0.25">
      <c r="A20" s="516"/>
      <c r="B20" s="517"/>
      <c r="C20" s="518"/>
      <c r="D20" s="517"/>
      <c r="E20" s="517"/>
      <c r="F20" s="517"/>
      <c r="G20" s="519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33" x14ac:dyDescent="0.25">
      <c r="A21" s="516"/>
      <c r="B21" s="517"/>
      <c r="C21" s="518"/>
      <c r="D21" s="517"/>
      <c r="E21" s="517"/>
      <c r="F21" s="517"/>
      <c r="G21" s="519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33" x14ac:dyDescent="0.25">
      <c r="A22" s="520"/>
      <c r="B22" s="521"/>
      <c r="C22" s="522"/>
      <c r="D22" s="521"/>
      <c r="E22" s="521"/>
      <c r="F22" s="521"/>
      <c r="G22" s="52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33" x14ac:dyDescent="0.25">
      <c r="A23" s="3"/>
      <c r="B23" s="4"/>
      <c r="C23" s="181"/>
      <c r="D23" s="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33" x14ac:dyDescent="0.25">
      <c r="C24" s="183"/>
      <c r="D24" s="10"/>
      <c r="AG24" t="s">
        <v>158</v>
      </c>
    </row>
    <row r="25" spans="1:33" x14ac:dyDescent="0.25">
      <c r="D25" s="10"/>
    </row>
    <row r="26" spans="1:33" x14ac:dyDescent="0.25">
      <c r="D26" s="10"/>
    </row>
    <row r="27" spans="1:33" x14ac:dyDescent="0.25">
      <c r="D27" s="10"/>
    </row>
    <row r="28" spans="1:33" x14ac:dyDescent="0.25">
      <c r="D28" s="10"/>
    </row>
    <row r="29" spans="1:33" x14ac:dyDescent="0.25">
      <c r="D29" s="10"/>
    </row>
    <row r="30" spans="1:33" x14ac:dyDescent="0.25">
      <c r="D30" s="10"/>
    </row>
    <row r="31" spans="1:33" x14ac:dyDescent="0.25">
      <c r="D31" s="10"/>
    </row>
    <row r="32" spans="1:33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Aq+ROKRzR0//QUJJA6sULOGFlJxqO64lGUdibb6Q40rSwE4B/IZnJWzVPF1TpanReytOW3MWc3Qaz+ggg+pQsQ==" saltValue="itPtnK3tlM2I04wX8REl8A==" spinCount="100000" sheet="1" objects="1" scenarios="1"/>
  <mergeCells count="6">
    <mergeCell ref="A18:G22"/>
    <mergeCell ref="A1:G1"/>
    <mergeCell ref="C2:G2"/>
    <mergeCell ref="C3:G3"/>
    <mergeCell ref="C4:G4"/>
    <mergeCell ref="A17:C17"/>
  </mergeCells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124"/>
  <sheetViews>
    <sheetView topLeftCell="A27" zoomScaleNormal="100" workbookViewId="0">
      <selection activeCell="C35" sqref="C35:G35"/>
    </sheetView>
  </sheetViews>
  <sheetFormatPr defaultColWidth="11" defaultRowHeight="14.4" x14ac:dyDescent="0.3"/>
  <cols>
    <col min="1" max="1" width="3.88671875" style="206" customWidth="1"/>
    <col min="2" max="2" width="15.5546875" style="206" customWidth="1"/>
    <col min="3" max="3" width="64.6640625" style="206" customWidth="1"/>
    <col min="4" max="7" width="10.33203125" style="206" customWidth="1"/>
    <col min="8" max="8" width="3.88671875" style="206" customWidth="1"/>
    <col min="9" max="9" width="12.33203125" style="206" customWidth="1"/>
    <col min="10" max="11" width="20.6640625" style="206" customWidth="1"/>
    <col min="230" max="254" width="11" style="206" hidden="1" customWidth="1"/>
    <col min="257" max="257" width="3.88671875" customWidth="1"/>
    <col min="258" max="258" width="15.5546875" customWidth="1"/>
    <col min="259" max="259" width="64.6640625" customWidth="1"/>
    <col min="260" max="263" width="10.33203125" customWidth="1"/>
    <col min="264" max="264" width="3.88671875" customWidth="1"/>
    <col min="265" max="265" width="11.6640625" customWidth="1"/>
    <col min="266" max="267" width="20.6640625" customWidth="1"/>
    <col min="486" max="510" width="0" hidden="1" customWidth="1"/>
    <col min="513" max="513" width="3.88671875" customWidth="1"/>
    <col min="514" max="514" width="15.5546875" customWidth="1"/>
    <col min="515" max="515" width="64.6640625" customWidth="1"/>
    <col min="516" max="519" width="10.33203125" customWidth="1"/>
    <col min="520" max="520" width="3.88671875" customWidth="1"/>
    <col min="521" max="521" width="11.6640625" customWidth="1"/>
    <col min="522" max="523" width="20.6640625" customWidth="1"/>
    <col min="742" max="766" width="0" hidden="1" customWidth="1"/>
    <col min="769" max="769" width="3.88671875" customWidth="1"/>
    <col min="770" max="770" width="15.5546875" customWidth="1"/>
    <col min="771" max="771" width="64.6640625" customWidth="1"/>
    <col min="772" max="775" width="10.33203125" customWidth="1"/>
    <col min="776" max="776" width="3.88671875" customWidth="1"/>
    <col min="777" max="777" width="11.6640625" customWidth="1"/>
    <col min="778" max="779" width="20.6640625" customWidth="1"/>
    <col min="998" max="1022" width="0" hidden="1" customWidth="1"/>
    <col min="1025" max="1025" width="3.88671875" customWidth="1"/>
    <col min="1026" max="1026" width="15.5546875" customWidth="1"/>
    <col min="1027" max="1027" width="64.6640625" customWidth="1"/>
    <col min="1028" max="1031" width="10.33203125" customWidth="1"/>
    <col min="1032" max="1032" width="3.88671875" customWidth="1"/>
    <col min="1033" max="1033" width="11.6640625" customWidth="1"/>
    <col min="1034" max="1035" width="20.6640625" customWidth="1"/>
    <col min="1254" max="1278" width="0" hidden="1" customWidth="1"/>
    <col min="1281" max="1281" width="3.88671875" customWidth="1"/>
    <col min="1282" max="1282" width="15.5546875" customWidth="1"/>
    <col min="1283" max="1283" width="64.6640625" customWidth="1"/>
    <col min="1284" max="1287" width="10.33203125" customWidth="1"/>
    <col min="1288" max="1288" width="3.88671875" customWidth="1"/>
    <col min="1289" max="1289" width="11.6640625" customWidth="1"/>
    <col min="1290" max="1291" width="20.6640625" customWidth="1"/>
    <col min="1510" max="1534" width="0" hidden="1" customWidth="1"/>
    <col min="1537" max="1537" width="3.88671875" customWidth="1"/>
    <col min="1538" max="1538" width="15.5546875" customWidth="1"/>
    <col min="1539" max="1539" width="64.6640625" customWidth="1"/>
    <col min="1540" max="1543" width="10.33203125" customWidth="1"/>
    <col min="1544" max="1544" width="3.88671875" customWidth="1"/>
    <col min="1545" max="1545" width="11.6640625" customWidth="1"/>
    <col min="1546" max="1547" width="20.6640625" customWidth="1"/>
    <col min="1766" max="1790" width="0" hidden="1" customWidth="1"/>
    <col min="1793" max="1793" width="3.88671875" customWidth="1"/>
    <col min="1794" max="1794" width="15.5546875" customWidth="1"/>
    <col min="1795" max="1795" width="64.6640625" customWidth="1"/>
    <col min="1796" max="1799" width="10.33203125" customWidth="1"/>
    <col min="1800" max="1800" width="3.88671875" customWidth="1"/>
    <col min="1801" max="1801" width="11.6640625" customWidth="1"/>
    <col min="1802" max="1803" width="20.6640625" customWidth="1"/>
    <col min="2022" max="2046" width="0" hidden="1" customWidth="1"/>
    <col min="2049" max="2049" width="3.88671875" customWidth="1"/>
    <col min="2050" max="2050" width="15.5546875" customWidth="1"/>
    <col min="2051" max="2051" width="64.6640625" customWidth="1"/>
    <col min="2052" max="2055" width="10.33203125" customWidth="1"/>
    <col min="2056" max="2056" width="3.88671875" customWidth="1"/>
    <col min="2057" max="2057" width="11.6640625" customWidth="1"/>
    <col min="2058" max="2059" width="20.6640625" customWidth="1"/>
    <col min="2278" max="2302" width="0" hidden="1" customWidth="1"/>
    <col min="2305" max="2305" width="3.88671875" customWidth="1"/>
    <col min="2306" max="2306" width="15.5546875" customWidth="1"/>
    <col min="2307" max="2307" width="64.6640625" customWidth="1"/>
    <col min="2308" max="2311" width="10.33203125" customWidth="1"/>
    <col min="2312" max="2312" width="3.88671875" customWidth="1"/>
    <col min="2313" max="2313" width="11.6640625" customWidth="1"/>
    <col min="2314" max="2315" width="20.6640625" customWidth="1"/>
    <col min="2534" max="2558" width="0" hidden="1" customWidth="1"/>
    <col min="2561" max="2561" width="3.88671875" customWidth="1"/>
    <col min="2562" max="2562" width="15.5546875" customWidth="1"/>
    <col min="2563" max="2563" width="64.6640625" customWidth="1"/>
    <col min="2564" max="2567" width="10.33203125" customWidth="1"/>
    <col min="2568" max="2568" width="3.88671875" customWidth="1"/>
    <col min="2569" max="2569" width="11.6640625" customWidth="1"/>
    <col min="2570" max="2571" width="20.6640625" customWidth="1"/>
    <col min="2790" max="2814" width="0" hidden="1" customWidth="1"/>
    <col min="2817" max="2817" width="3.88671875" customWidth="1"/>
    <col min="2818" max="2818" width="15.5546875" customWidth="1"/>
    <col min="2819" max="2819" width="64.6640625" customWidth="1"/>
    <col min="2820" max="2823" width="10.33203125" customWidth="1"/>
    <col min="2824" max="2824" width="3.88671875" customWidth="1"/>
    <col min="2825" max="2825" width="11.6640625" customWidth="1"/>
    <col min="2826" max="2827" width="20.6640625" customWidth="1"/>
    <col min="3046" max="3070" width="0" hidden="1" customWidth="1"/>
    <col min="3073" max="3073" width="3.88671875" customWidth="1"/>
    <col min="3074" max="3074" width="15.5546875" customWidth="1"/>
    <col min="3075" max="3075" width="64.6640625" customWidth="1"/>
    <col min="3076" max="3079" width="10.33203125" customWidth="1"/>
    <col min="3080" max="3080" width="3.88671875" customWidth="1"/>
    <col min="3081" max="3081" width="11.6640625" customWidth="1"/>
    <col min="3082" max="3083" width="20.6640625" customWidth="1"/>
    <col min="3302" max="3326" width="0" hidden="1" customWidth="1"/>
    <col min="3329" max="3329" width="3.88671875" customWidth="1"/>
    <col min="3330" max="3330" width="15.5546875" customWidth="1"/>
    <col min="3331" max="3331" width="64.6640625" customWidth="1"/>
    <col min="3332" max="3335" width="10.33203125" customWidth="1"/>
    <col min="3336" max="3336" width="3.88671875" customWidth="1"/>
    <col min="3337" max="3337" width="11.6640625" customWidth="1"/>
    <col min="3338" max="3339" width="20.6640625" customWidth="1"/>
    <col min="3558" max="3582" width="0" hidden="1" customWidth="1"/>
    <col min="3585" max="3585" width="3.88671875" customWidth="1"/>
    <col min="3586" max="3586" width="15.5546875" customWidth="1"/>
    <col min="3587" max="3587" width="64.6640625" customWidth="1"/>
    <col min="3588" max="3591" width="10.33203125" customWidth="1"/>
    <col min="3592" max="3592" width="3.88671875" customWidth="1"/>
    <col min="3593" max="3593" width="11.6640625" customWidth="1"/>
    <col min="3594" max="3595" width="20.6640625" customWidth="1"/>
    <col min="3814" max="3838" width="0" hidden="1" customWidth="1"/>
    <col min="3841" max="3841" width="3.88671875" customWidth="1"/>
    <col min="3842" max="3842" width="15.5546875" customWidth="1"/>
    <col min="3843" max="3843" width="64.6640625" customWidth="1"/>
    <col min="3844" max="3847" width="10.33203125" customWidth="1"/>
    <col min="3848" max="3848" width="3.88671875" customWidth="1"/>
    <col min="3849" max="3849" width="11.6640625" customWidth="1"/>
    <col min="3850" max="3851" width="20.6640625" customWidth="1"/>
    <col min="4070" max="4094" width="0" hidden="1" customWidth="1"/>
    <col min="4097" max="4097" width="3.88671875" customWidth="1"/>
    <col min="4098" max="4098" width="15.5546875" customWidth="1"/>
    <col min="4099" max="4099" width="64.6640625" customWidth="1"/>
    <col min="4100" max="4103" width="10.33203125" customWidth="1"/>
    <col min="4104" max="4104" width="3.88671875" customWidth="1"/>
    <col min="4105" max="4105" width="11.6640625" customWidth="1"/>
    <col min="4106" max="4107" width="20.6640625" customWidth="1"/>
    <col min="4326" max="4350" width="0" hidden="1" customWidth="1"/>
    <col min="4353" max="4353" width="3.88671875" customWidth="1"/>
    <col min="4354" max="4354" width="15.5546875" customWidth="1"/>
    <col min="4355" max="4355" width="64.6640625" customWidth="1"/>
    <col min="4356" max="4359" width="10.33203125" customWidth="1"/>
    <col min="4360" max="4360" width="3.88671875" customWidth="1"/>
    <col min="4361" max="4361" width="11.6640625" customWidth="1"/>
    <col min="4362" max="4363" width="20.6640625" customWidth="1"/>
    <col min="4582" max="4606" width="0" hidden="1" customWidth="1"/>
    <col min="4609" max="4609" width="3.88671875" customWidth="1"/>
    <col min="4610" max="4610" width="15.5546875" customWidth="1"/>
    <col min="4611" max="4611" width="64.6640625" customWidth="1"/>
    <col min="4612" max="4615" width="10.33203125" customWidth="1"/>
    <col min="4616" max="4616" width="3.88671875" customWidth="1"/>
    <col min="4617" max="4617" width="11.6640625" customWidth="1"/>
    <col min="4618" max="4619" width="20.6640625" customWidth="1"/>
    <col min="4838" max="4862" width="0" hidden="1" customWidth="1"/>
    <col min="4865" max="4865" width="3.88671875" customWidth="1"/>
    <col min="4866" max="4866" width="15.5546875" customWidth="1"/>
    <col min="4867" max="4867" width="64.6640625" customWidth="1"/>
    <col min="4868" max="4871" width="10.33203125" customWidth="1"/>
    <col min="4872" max="4872" width="3.88671875" customWidth="1"/>
    <col min="4873" max="4873" width="11.6640625" customWidth="1"/>
    <col min="4874" max="4875" width="20.6640625" customWidth="1"/>
    <col min="5094" max="5118" width="0" hidden="1" customWidth="1"/>
    <col min="5121" max="5121" width="3.88671875" customWidth="1"/>
    <col min="5122" max="5122" width="15.5546875" customWidth="1"/>
    <col min="5123" max="5123" width="64.6640625" customWidth="1"/>
    <col min="5124" max="5127" width="10.33203125" customWidth="1"/>
    <col min="5128" max="5128" width="3.88671875" customWidth="1"/>
    <col min="5129" max="5129" width="11.6640625" customWidth="1"/>
    <col min="5130" max="5131" width="20.6640625" customWidth="1"/>
    <col min="5350" max="5374" width="0" hidden="1" customWidth="1"/>
    <col min="5377" max="5377" width="3.88671875" customWidth="1"/>
    <col min="5378" max="5378" width="15.5546875" customWidth="1"/>
    <col min="5379" max="5379" width="64.6640625" customWidth="1"/>
    <col min="5380" max="5383" width="10.33203125" customWidth="1"/>
    <col min="5384" max="5384" width="3.88671875" customWidth="1"/>
    <col min="5385" max="5385" width="11.6640625" customWidth="1"/>
    <col min="5386" max="5387" width="20.6640625" customWidth="1"/>
    <col min="5606" max="5630" width="0" hidden="1" customWidth="1"/>
    <col min="5633" max="5633" width="3.88671875" customWidth="1"/>
    <col min="5634" max="5634" width="15.5546875" customWidth="1"/>
    <col min="5635" max="5635" width="64.6640625" customWidth="1"/>
    <col min="5636" max="5639" width="10.33203125" customWidth="1"/>
    <col min="5640" max="5640" width="3.88671875" customWidth="1"/>
    <col min="5641" max="5641" width="11.6640625" customWidth="1"/>
    <col min="5642" max="5643" width="20.6640625" customWidth="1"/>
    <col min="5862" max="5886" width="0" hidden="1" customWidth="1"/>
    <col min="5889" max="5889" width="3.88671875" customWidth="1"/>
    <col min="5890" max="5890" width="15.5546875" customWidth="1"/>
    <col min="5891" max="5891" width="64.6640625" customWidth="1"/>
    <col min="5892" max="5895" width="10.33203125" customWidth="1"/>
    <col min="5896" max="5896" width="3.88671875" customWidth="1"/>
    <col min="5897" max="5897" width="11.6640625" customWidth="1"/>
    <col min="5898" max="5899" width="20.6640625" customWidth="1"/>
    <col min="6118" max="6142" width="0" hidden="1" customWidth="1"/>
    <col min="6145" max="6145" width="3.88671875" customWidth="1"/>
    <col min="6146" max="6146" width="15.5546875" customWidth="1"/>
    <col min="6147" max="6147" width="64.6640625" customWidth="1"/>
    <col min="6148" max="6151" width="10.33203125" customWidth="1"/>
    <col min="6152" max="6152" width="3.88671875" customWidth="1"/>
    <col min="6153" max="6153" width="11.6640625" customWidth="1"/>
    <col min="6154" max="6155" width="20.6640625" customWidth="1"/>
    <col min="6374" max="6398" width="0" hidden="1" customWidth="1"/>
    <col min="6401" max="6401" width="3.88671875" customWidth="1"/>
    <col min="6402" max="6402" width="15.5546875" customWidth="1"/>
    <col min="6403" max="6403" width="64.6640625" customWidth="1"/>
    <col min="6404" max="6407" width="10.33203125" customWidth="1"/>
    <col min="6408" max="6408" width="3.88671875" customWidth="1"/>
    <col min="6409" max="6409" width="11.6640625" customWidth="1"/>
    <col min="6410" max="6411" width="20.6640625" customWidth="1"/>
    <col min="6630" max="6654" width="0" hidden="1" customWidth="1"/>
    <col min="6657" max="6657" width="3.88671875" customWidth="1"/>
    <col min="6658" max="6658" width="15.5546875" customWidth="1"/>
    <col min="6659" max="6659" width="64.6640625" customWidth="1"/>
    <col min="6660" max="6663" width="10.33203125" customWidth="1"/>
    <col min="6664" max="6664" width="3.88671875" customWidth="1"/>
    <col min="6665" max="6665" width="11.6640625" customWidth="1"/>
    <col min="6666" max="6667" width="20.6640625" customWidth="1"/>
    <col min="6886" max="6910" width="0" hidden="1" customWidth="1"/>
    <col min="6913" max="6913" width="3.88671875" customWidth="1"/>
    <col min="6914" max="6914" width="15.5546875" customWidth="1"/>
    <col min="6915" max="6915" width="64.6640625" customWidth="1"/>
    <col min="6916" max="6919" width="10.33203125" customWidth="1"/>
    <col min="6920" max="6920" width="3.88671875" customWidth="1"/>
    <col min="6921" max="6921" width="11.6640625" customWidth="1"/>
    <col min="6922" max="6923" width="20.6640625" customWidth="1"/>
    <col min="7142" max="7166" width="0" hidden="1" customWidth="1"/>
    <col min="7169" max="7169" width="3.88671875" customWidth="1"/>
    <col min="7170" max="7170" width="15.5546875" customWidth="1"/>
    <col min="7171" max="7171" width="64.6640625" customWidth="1"/>
    <col min="7172" max="7175" width="10.33203125" customWidth="1"/>
    <col min="7176" max="7176" width="3.88671875" customWidth="1"/>
    <col min="7177" max="7177" width="11.6640625" customWidth="1"/>
    <col min="7178" max="7179" width="20.6640625" customWidth="1"/>
    <col min="7398" max="7422" width="0" hidden="1" customWidth="1"/>
    <col min="7425" max="7425" width="3.88671875" customWidth="1"/>
    <col min="7426" max="7426" width="15.5546875" customWidth="1"/>
    <col min="7427" max="7427" width="64.6640625" customWidth="1"/>
    <col min="7428" max="7431" width="10.33203125" customWidth="1"/>
    <col min="7432" max="7432" width="3.88671875" customWidth="1"/>
    <col min="7433" max="7433" width="11.6640625" customWidth="1"/>
    <col min="7434" max="7435" width="20.6640625" customWidth="1"/>
    <col min="7654" max="7678" width="0" hidden="1" customWidth="1"/>
    <col min="7681" max="7681" width="3.88671875" customWidth="1"/>
    <col min="7682" max="7682" width="15.5546875" customWidth="1"/>
    <col min="7683" max="7683" width="64.6640625" customWidth="1"/>
    <col min="7684" max="7687" width="10.33203125" customWidth="1"/>
    <col min="7688" max="7688" width="3.88671875" customWidth="1"/>
    <col min="7689" max="7689" width="11.6640625" customWidth="1"/>
    <col min="7690" max="7691" width="20.6640625" customWidth="1"/>
    <col min="7910" max="7934" width="0" hidden="1" customWidth="1"/>
    <col min="7937" max="7937" width="3.88671875" customWidth="1"/>
    <col min="7938" max="7938" width="15.5546875" customWidth="1"/>
    <col min="7939" max="7939" width="64.6640625" customWidth="1"/>
    <col min="7940" max="7943" width="10.33203125" customWidth="1"/>
    <col min="7944" max="7944" width="3.88671875" customWidth="1"/>
    <col min="7945" max="7945" width="11.6640625" customWidth="1"/>
    <col min="7946" max="7947" width="20.6640625" customWidth="1"/>
    <col min="8166" max="8190" width="0" hidden="1" customWidth="1"/>
    <col min="8193" max="8193" width="3.88671875" customWidth="1"/>
    <col min="8194" max="8194" width="15.5546875" customWidth="1"/>
    <col min="8195" max="8195" width="64.6640625" customWidth="1"/>
    <col min="8196" max="8199" width="10.33203125" customWidth="1"/>
    <col min="8200" max="8200" width="3.88671875" customWidth="1"/>
    <col min="8201" max="8201" width="11.6640625" customWidth="1"/>
    <col min="8202" max="8203" width="20.6640625" customWidth="1"/>
    <col min="8422" max="8446" width="0" hidden="1" customWidth="1"/>
    <col min="8449" max="8449" width="3.88671875" customWidth="1"/>
    <col min="8450" max="8450" width="15.5546875" customWidth="1"/>
    <col min="8451" max="8451" width="64.6640625" customWidth="1"/>
    <col min="8452" max="8455" width="10.33203125" customWidth="1"/>
    <col min="8456" max="8456" width="3.88671875" customWidth="1"/>
    <col min="8457" max="8457" width="11.6640625" customWidth="1"/>
    <col min="8458" max="8459" width="20.6640625" customWidth="1"/>
    <col min="8678" max="8702" width="0" hidden="1" customWidth="1"/>
    <col min="8705" max="8705" width="3.88671875" customWidth="1"/>
    <col min="8706" max="8706" width="15.5546875" customWidth="1"/>
    <col min="8707" max="8707" width="64.6640625" customWidth="1"/>
    <col min="8708" max="8711" width="10.33203125" customWidth="1"/>
    <col min="8712" max="8712" width="3.88671875" customWidth="1"/>
    <col min="8713" max="8713" width="11.6640625" customWidth="1"/>
    <col min="8714" max="8715" width="20.6640625" customWidth="1"/>
    <col min="8934" max="8958" width="0" hidden="1" customWidth="1"/>
    <col min="8961" max="8961" width="3.88671875" customWidth="1"/>
    <col min="8962" max="8962" width="15.5546875" customWidth="1"/>
    <col min="8963" max="8963" width="64.6640625" customWidth="1"/>
    <col min="8964" max="8967" width="10.33203125" customWidth="1"/>
    <col min="8968" max="8968" width="3.88671875" customWidth="1"/>
    <col min="8969" max="8969" width="11.6640625" customWidth="1"/>
    <col min="8970" max="8971" width="20.6640625" customWidth="1"/>
    <col min="9190" max="9214" width="0" hidden="1" customWidth="1"/>
    <col min="9217" max="9217" width="3.88671875" customWidth="1"/>
    <col min="9218" max="9218" width="15.5546875" customWidth="1"/>
    <col min="9219" max="9219" width="64.6640625" customWidth="1"/>
    <col min="9220" max="9223" width="10.33203125" customWidth="1"/>
    <col min="9224" max="9224" width="3.88671875" customWidth="1"/>
    <col min="9225" max="9225" width="11.6640625" customWidth="1"/>
    <col min="9226" max="9227" width="20.6640625" customWidth="1"/>
    <col min="9446" max="9470" width="0" hidden="1" customWidth="1"/>
    <col min="9473" max="9473" width="3.88671875" customWidth="1"/>
    <col min="9474" max="9474" width="15.5546875" customWidth="1"/>
    <col min="9475" max="9475" width="64.6640625" customWidth="1"/>
    <col min="9476" max="9479" width="10.33203125" customWidth="1"/>
    <col min="9480" max="9480" width="3.88671875" customWidth="1"/>
    <col min="9481" max="9481" width="11.6640625" customWidth="1"/>
    <col min="9482" max="9483" width="20.6640625" customWidth="1"/>
    <col min="9702" max="9726" width="0" hidden="1" customWidth="1"/>
    <col min="9729" max="9729" width="3.88671875" customWidth="1"/>
    <col min="9730" max="9730" width="15.5546875" customWidth="1"/>
    <col min="9731" max="9731" width="64.6640625" customWidth="1"/>
    <col min="9732" max="9735" width="10.33203125" customWidth="1"/>
    <col min="9736" max="9736" width="3.88671875" customWidth="1"/>
    <col min="9737" max="9737" width="11.6640625" customWidth="1"/>
    <col min="9738" max="9739" width="20.6640625" customWidth="1"/>
    <col min="9958" max="9982" width="0" hidden="1" customWidth="1"/>
    <col min="9985" max="9985" width="3.88671875" customWidth="1"/>
    <col min="9986" max="9986" width="15.5546875" customWidth="1"/>
    <col min="9987" max="9987" width="64.6640625" customWidth="1"/>
    <col min="9988" max="9991" width="10.33203125" customWidth="1"/>
    <col min="9992" max="9992" width="3.88671875" customWidth="1"/>
    <col min="9993" max="9993" width="11.6640625" customWidth="1"/>
    <col min="9994" max="9995" width="20.6640625" customWidth="1"/>
    <col min="10214" max="10238" width="0" hidden="1" customWidth="1"/>
    <col min="10241" max="10241" width="3.88671875" customWidth="1"/>
    <col min="10242" max="10242" width="15.5546875" customWidth="1"/>
    <col min="10243" max="10243" width="64.6640625" customWidth="1"/>
    <col min="10244" max="10247" width="10.33203125" customWidth="1"/>
    <col min="10248" max="10248" width="3.88671875" customWidth="1"/>
    <col min="10249" max="10249" width="11.6640625" customWidth="1"/>
    <col min="10250" max="10251" width="20.6640625" customWidth="1"/>
    <col min="10470" max="10494" width="0" hidden="1" customWidth="1"/>
    <col min="10497" max="10497" width="3.88671875" customWidth="1"/>
    <col min="10498" max="10498" width="15.5546875" customWidth="1"/>
    <col min="10499" max="10499" width="64.6640625" customWidth="1"/>
    <col min="10500" max="10503" width="10.33203125" customWidth="1"/>
    <col min="10504" max="10504" width="3.88671875" customWidth="1"/>
    <col min="10505" max="10505" width="11.6640625" customWidth="1"/>
    <col min="10506" max="10507" width="20.6640625" customWidth="1"/>
    <col min="10726" max="10750" width="0" hidden="1" customWidth="1"/>
    <col min="10753" max="10753" width="3.88671875" customWidth="1"/>
    <col min="10754" max="10754" width="15.5546875" customWidth="1"/>
    <col min="10755" max="10755" width="64.6640625" customWidth="1"/>
    <col min="10756" max="10759" width="10.33203125" customWidth="1"/>
    <col min="10760" max="10760" width="3.88671875" customWidth="1"/>
    <col min="10761" max="10761" width="11.6640625" customWidth="1"/>
    <col min="10762" max="10763" width="20.6640625" customWidth="1"/>
    <col min="10982" max="11006" width="0" hidden="1" customWidth="1"/>
    <col min="11009" max="11009" width="3.88671875" customWidth="1"/>
    <col min="11010" max="11010" width="15.5546875" customWidth="1"/>
    <col min="11011" max="11011" width="64.6640625" customWidth="1"/>
    <col min="11012" max="11015" width="10.33203125" customWidth="1"/>
    <col min="11016" max="11016" width="3.88671875" customWidth="1"/>
    <col min="11017" max="11017" width="11.6640625" customWidth="1"/>
    <col min="11018" max="11019" width="20.6640625" customWidth="1"/>
    <col min="11238" max="11262" width="0" hidden="1" customWidth="1"/>
    <col min="11265" max="11265" width="3.88671875" customWidth="1"/>
    <col min="11266" max="11266" width="15.5546875" customWidth="1"/>
    <col min="11267" max="11267" width="64.6640625" customWidth="1"/>
    <col min="11268" max="11271" width="10.33203125" customWidth="1"/>
    <col min="11272" max="11272" width="3.88671875" customWidth="1"/>
    <col min="11273" max="11273" width="11.6640625" customWidth="1"/>
    <col min="11274" max="11275" width="20.6640625" customWidth="1"/>
    <col min="11494" max="11518" width="0" hidden="1" customWidth="1"/>
    <col min="11521" max="11521" width="3.88671875" customWidth="1"/>
    <col min="11522" max="11522" width="15.5546875" customWidth="1"/>
    <col min="11523" max="11523" width="64.6640625" customWidth="1"/>
    <col min="11524" max="11527" width="10.33203125" customWidth="1"/>
    <col min="11528" max="11528" width="3.88671875" customWidth="1"/>
    <col min="11529" max="11529" width="11.6640625" customWidth="1"/>
    <col min="11530" max="11531" width="20.6640625" customWidth="1"/>
    <col min="11750" max="11774" width="0" hidden="1" customWidth="1"/>
    <col min="11777" max="11777" width="3.88671875" customWidth="1"/>
    <col min="11778" max="11778" width="15.5546875" customWidth="1"/>
    <col min="11779" max="11779" width="64.6640625" customWidth="1"/>
    <col min="11780" max="11783" width="10.33203125" customWidth="1"/>
    <col min="11784" max="11784" width="3.88671875" customWidth="1"/>
    <col min="11785" max="11785" width="11.6640625" customWidth="1"/>
    <col min="11786" max="11787" width="20.6640625" customWidth="1"/>
    <col min="12006" max="12030" width="0" hidden="1" customWidth="1"/>
    <col min="12033" max="12033" width="3.88671875" customWidth="1"/>
    <col min="12034" max="12034" width="15.5546875" customWidth="1"/>
    <col min="12035" max="12035" width="64.6640625" customWidth="1"/>
    <col min="12036" max="12039" width="10.33203125" customWidth="1"/>
    <col min="12040" max="12040" width="3.88671875" customWidth="1"/>
    <col min="12041" max="12041" width="11.6640625" customWidth="1"/>
    <col min="12042" max="12043" width="20.6640625" customWidth="1"/>
    <col min="12262" max="12286" width="0" hidden="1" customWidth="1"/>
    <col min="12289" max="12289" width="3.88671875" customWidth="1"/>
    <col min="12290" max="12290" width="15.5546875" customWidth="1"/>
    <col min="12291" max="12291" width="64.6640625" customWidth="1"/>
    <col min="12292" max="12295" width="10.33203125" customWidth="1"/>
    <col min="12296" max="12296" width="3.88671875" customWidth="1"/>
    <col min="12297" max="12297" width="11.6640625" customWidth="1"/>
    <col min="12298" max="12299" width="20.6640625" customWidth="1"/>
    <col min="12518" max="12542" width="0" hidden="1" customWidth="1"/>
    <col min="12545" max="12545" width="3.88671875" customWidth="1"/>
    <col min="12546" max="12546" width="15.5546875" customWidth="1"/>
    <col min="12547" max="12547" width="64.6640625" customWidth="1"/>
    <col min="12548" max="12551" width="10.33203125" customWidth="1"/>
    <col min="12552" max="12552" width="3.88671875" customWidth="1"/>
    <col min="12553" max="12553" width="11.6640625" customWidth="1"/>
    <col min="12554" max="12555" width="20.6640625" customWidth="1"/>
    <col min="12774" max="12798" width="0" hidden="1" customWidth="1"/>
    <col min="12801" max="12801" width="3.88671875" customWidth="1"/>
    <col min="12802" max="12802" width="15.5546875" customWidth="1"/>
    <col min="12803" max="12803" width="64.6640625" customWidth="1"/>
    <col min="12804" max="12807" width="10.33203125" customWidth="1"/>
    <col min="12808" max="12808" width="3.88671875" customWidth="1"/>
    <col min="12809" max="12809" width="11.6640625" customWidth="1"/>
    <col min="12810" max="12811" width="20.6640625" customWidth="1"/>
    <col min="13030" max="13054" width="0" hidden="1" customWidth="1"/>
    <col min="13057" max="13057" width="3.88671875" customWidth="1"/>
    <col min="13058" max="13058" width="15.5546875" customWidth="1"/>
    <col min="13059" max="13059" width="64.6640625" customWidth="1"/>
    <col min="13060" max="13063" width="10.33203125" customWidth="1"/>
    <col min="13064" max="13064" width="3.88671875" customWidth="1"/>
    <col min="13065" max="13065" width="11.6640625" customWidth="1"/>
    <col min="13066" max="13067" width="20.6640625" customWidth="1"/>
    <col min="13286" max="13310" width="0" hidden="1" customWidth="1"/>
    <col min="13313" max="13313" width="3.88671875" customWidth="1"/>
    <col min="13314" max="13314" width="15.5546875" customWidth="1"/>
    <col min="13315" max="13315" width="64.6640625" customWidth="1"/>
    <col min="13316" max="13319" width="10.33203125" customWidth="1"/>
    <col min="13320" max="13320" width="3.88671875" customWidth="1"/>
    <col min="13321" max="13321" width="11.6640625" customWidth="1"/>
    <col min="13322" max="13323" width="20.6640625" customWidth="1"/>
    <col min="13542" max="13566" width="0" hidden="1" customWidth="1"/>
    <col min="13569" max="13569" width="3.88671875" customWidth="1"/>
    <col min="13570" max="13570" width="15.5546875" customWidth="1"/>
    <col min="13571" max="13571" width="64.6640625" customWidth="1"/>
    <col min="13572" max="13575" width="10.33203125" customWidth="1"/>
    <col min="13576" max="13576" width="3.88671875" customWidth="1"/>
    <col min="13577" max="13577" width="11.6640625" customWidth="1"/>
    <col min="13578" max="13579" width="20.6640625" customWidth="1"/>
    <col min="13798" max="13822" width="0" hidden="1" customWidth="1"/>
    <col min="13825" max="13825" width="3.88671875" customWidth="1"/>
    <col min="13826" max="13826" width="15.5546875" customWidth="1"/>
    <col min="13827" max="13827" width="64.6640625" customWidth="1"/>
    <col min="13828" max="13831" width="10.33203125" customWidth="1"/>
    <col min="13832" max="13832" width="3.88671875" customWidth="1"/>
    <col min="13833" max="13833" width="11.6640625" customWidth="1"/>
    <col min="13834" max="13835" width="20.6640625" customWidth="1"/>
    <col min="14054" max="14078" width="0" hidden="1" customWidth="1"/>
    <col min="14081" max="14081" width="3.88671875" customWidth="1"/>
    <col min="14082" max="14082" width="15.5546875" customWidth="1"/>
    <col min="14083" max="14083" width="64.6640625" customWidth="1"/>
    <col min="14084" max="14087" width="10.33203125" customWidth="1"/>
    <col min="14088" max="14088" width="3.88671875" customWidth="1"/>
    <col min="14089" max="14089" width="11.6640625" customWidth="1"/>
    <col min="14090" max="14091" width="20.6640625" customWidth="1"/>
    <col min="14310" max="14334" width="0" hidden="1" customWidth="1"/>
    <col min="14337" max="14337" width="3.88671875" customWidth="1"/>
    <col min="14338" max="14338" width="15.5546875" customWidth="1"/>
    <col min="14339" max="14339" width="64.6640625" customWidth="1"/>
    <col min="14340" max="14343" width="10.33203125" customWidth="1"/>
    <col min="14344" max="14344" width="3.88671875" customWidth="1"/>
    <col min="14345" max="14345" width="11.6640625" customWidth="1"/>
    <col min="14346" max="14347" width="20.6640625" customWidth="1"/>
    <col min="14566" max="14590" width="0" hidden="1" customWidth="1"/>
    <col min="14593" max="14593" width="3.88671875" customWidth="1"/>
    <col min="14594" max="14594" width="15.5546875" customWidth="1"/>
    <col min="14595" max="14595" width="64.6640625" customWidth="1"/>
    <col min="14596" max="14599" width="10.33203125" customWidth="1"/>
    <col min="14600" max="14600" width="3.88671875" customWidth="1"/>
    <col min="14601" max="14601" width="11.6640625" customWidth="1"/>
    <col min="14602" max="14603" width="20.6640625" customWidth="1"/>
    <col min="14822" max="14846" width="0" hidden="1" customWidth="1"/>
    <col min="14849" max="14849" width="3.88671875" customWidth="1"/>
    <col min="14850" max="14850" width="15.5546875" customWidth="1"/>
    <col min="14851" max="14851" width="64.6640625" customWidth="1"/>
    <col min="14852" max="14855" width="10.33203125" customWidth="1"/>
    <col min="14856" max="14856" width="3.88671875" customWidth="1"/>
    <col min="14857" max="14857" width="11.6640625" customWidth="1"/>
    <col min="14858" max="14859" width="20.6640625" customWidth="1"/>
    <col min="15078" max="15102" width="0" hidden="1" customWidth="1"/>
    <col min="15105" max="15105" width="3.88671875" customWidth="1"/>
    <col min="15106" max="15106" width="15.5546875" customWidth="1"/>
    <col min="15107" max="15107" width="64.6640625" customWidth="1"/>
    <col min="15108" max="15111" width="10.33203125" customWidth="1"/>
    <col min="15112" max="15112" width="3.88671875" customWidth="1"/>
    <col min="15113" max="15113" width="11.6640625" customWidth="1"/>
    <col min="15114" max="15115" width="20.6640625" customWidth="1"/>
    <col min="15334" max="15358" width="0" hidden="1" customWidth="1"/>
    <col min="15361" max="15361" width="3.88671875" customWidth="1"/>
    <col min="15362" max="15362" width="15.5546875" customWidth="1"/>
    <col min="15363" max="15363" width="64.6640625" customWidth="1"/>
    <col min="15364" max="15367" width="10.33203125" customWidth="1"/>
    <col min="15368" max="15368" width="3.88671875" customWidth="1"/>
    <col min="15369" max="15369" width="11.6640625" customWidth="1"/>
    <col min="15370" max="15371" width="20.6640625" customWidth="1"/>
    <col min="15590" max="15614" width="0" hidden="1" customWidth="1"/>
    <col min="15617" max="15617" width="3.88671875" customWidth="1"/>
    <col min="15618" max="15618" width="15.5546875" customWidth="1"/>
    <col min="15619" max="15619" width="64.6640625" customWidth="1"/>
    <col min="15620" max="15623" width="10.33203125" customWidth="1"/>
    <col min="15624" max="15624" width="3.88671875" customWidth="1"/>
    <col min="15625" max="15625" width="11.6640625" customWidth="1"/>
    <col min="15626" max="15627" width="20.6640625" customWidth="1"/>
    <col min="15846" max="15870" width="0" hidden="1" customWidth="1"/>
    <col min="15873" max="15873" width="3.88671875" customWidth="1"/>
    <col min="15874" max="15874" width="15.5546875" customWidth="1"/>
    <col min="15875" max="15875" width="64.6640625" customWidth="1"/>
    <col min="15876" max="15879" width="10.33203125" customWidth="1"/>
    <col min="15880" max="15880" width="3.88671875" customWidth="1"/>
    <col min="15881" max="15881" width="11.6640625" customWidth="1"/>
    <col min="15882" max="15883" width="20.6640625" customWidth="1"/>
    <col min="16102" max="16126" width="0" hidden="1" customWidth="1"/>
    <col min="16129" max="16129" width="3.88671875" customWidth="1"/>
    <col min="16130" max="16130" width="15.5546875" customWidth="1"/>
    <col min="16131" max="16131" width="64.6640625" customWidth="1"/>
    <col min="16132" max="16135" width="10.33203125" customWidth="1"/>
    <col min="16136" max="16136" width="3.88671875" customWidth="1"/>
    <col min="16137" max="16137" width="11.6640625" customWidth="1"/>
    <col min="16138" max="16139" width="20.6640625" customWidth="1"/>
    <col min="16358" max="16382" width="0" hidden="1" customWidth="1"/>
  </cols>
  <sheetData>
    <row r="1" spans="1:253" ht="54.75" customHeight="1" x14ac:dyDescent="0.3">
      <c r="A1" s="536" t="s">
        <v>700</v>
      </c>
      <c r="B1" s="536"/>
      <c r="C1" s="536"/>
      <c r="D1" s="536"/>
      <c r="E1" s="536"/>
      <c r="F1" s="536"/>
      <c r="G1" s="536"/>
      <c r="H1" s="536"/>
      <c r="I1" s="536"/>
      <c r="J1" s="536"/>
      <c r="K1" s="536"/>
    </row>
    <row r="2" spans="1:253" ht="15" customHeight="1" thickBot="1" x14ac:dyDescent="0.35">
      <c r="A2" s="207" t="s">
        <v>701</v>
      </c>
      <c r="B2" s="207" t="s">
        <v>702</v>
      </c>
      <c r="C2" s="537" t="s">
        <v>703</v>
      </c>
      <c r="D2" s="537"/>
      <c r="E2" s="537"/>
      <c r="F2" s="537"/>
      <c r="G2" s="537"/>
      <c r="H2" s="207" t="s">
        <v>120</v>
      </c>
      <c r="I2" s="207" t="s">
        <v>121</v>
      </c>
      <c r="J2" s="207" t="s">
        <v>704</v>
      </c>
      <c r="K2" s="208" t="s">
        <v>705</v>
      </c>
      <c r="HV2" s="209" t="s">
        <v>706</v>
      </c>
      <c r="HW2" s="209" t="s">
        <v>707</v>
      </c>
    </row>
    <row r="3" spans="1:253" ht="15" customHeight="1" x14ac:dyDescent="0.3">
      <c r="A3" s="210" t="s">
        <v>708</v>
      </c>
      <c r="B3" s="211" t="s">
        <v>709</v>
      </c>
      <c r="C3" s="535" t="s">
        <v>64</v>
      </c>
      <c r="D3" s="535"/>
      <c r="E3" s="535"/>
      <c r="F3" s="535"/>
      <c r="G3" s="535"/>
      <c r="H3" s="211" t="s">
        <v>708</v>
      </c>
      <c r="I3" s="212" t="s">
        <v>708</v>
      </c>
      <c r="J3" s="212" t="s">
        <v>708</v>
      </c>
      <c r="K3" s="213">
        <f>SUM(K4:K19)</f>
        <v>0</v>
      </c>
    </row>
    <row r="4" spans="1:253" ht="15" customHeight="1" x14ac:dyDescent="0.3">
      <c r="A4" s="214">
        <v>1</v>
      </c>
      <c r="B4" s="215" t="s">
        <v>710</v>
      </c>
      <c r="C4" s="534" t="s">
        <v>711</v>
      </c>
      <c r="D4" s="534"/>
      <c r="E4" s="534"/>
      <c r="F4" s="534"/>
      <c r="G4" s="534"/>
      <c r="H4" s="215" t="s">
        <v>201</v>
      </c>
      <c r="I4" s="216">
        <v>4.7249999999999996</v>
      </c>
      <c r="J4" s="258"/>
      <c r="K4" s="217">
        <f t="shared" ref="K4:K19" si="0">IR4*I4+IS4*I4</f>
        <v>0</v>
      </c>
      <c r="HV4" s="215" t="s">
        <v>709</v>
      </c>
      <c r="HW4" s="215" t="s">
        <v>712</v>
      </c>
      <c r="IR4" s="218">
        <f t="shared" ref="IR4:IR14" si="1">J4*0</f>
        <v>0</v>
      </c>
      <c r="IS4" s="218">
        <f t="shared" ref="IS4:IS14" si="2">J4*(1-0)</f>
        <v>0</v>
      </c>
    </row>
    <row r="5" spans="1:253" ht="15" customHeight="1" x14ac:dyDescent="0.3">
      <c r="A5" s="214">
        <v>2</v>
      </c>
      <c r="B5" s="215" t="s">
        <v>713</v>
      </c>
      <c r="C5" s="534" t="s">
        <v>714</v>
      </c>
      <c r="D5" s="534"/>
      <c r="E5" s="534"/>
      <c r="F5" s="534"/>
      <c r="G5" s="534"/>
      <c r="H5" s="215" t="s">
        <v>201</v>
      </c>
      <c r="I5" s="216">
        <v>4.7249999999999996</v>
      </c>
      <c r="J5" s="258"/>
      <c r="K5" s="217">
        <f t="shared" si="0"/>
        <v>0</v>
      </c>
      <c r="HV5" s="215" t="s">
        <v>709</v>
      </c>
      <c r="HW5" s="215" t="s">
        <v>712</v>
      </c>
      <c r="IR5" s="218">
        <f t="shared" si="1"/>
        <v>0</v>
      </c>
      <c r="IS5" s="218">
        <f t="shared" si="2"/>
        <v>0</v>
      </c>
    </row>
    <row r="6" spans="1:253" ht="15" customHeight="1" x14ac:dyDescent="0.3">
      <c r="A6" s="214">
        <v>3</v>
      </c>
      <c r="B6" s="215" t="s">
        <v>715</v>
      </c>
      <c r="C6" s="534" t="s">
        <v>716</v>
      </c>
      <c r="D6" s="534"/>
      <c r="E6" s="534"/>
      <c r="F6" s="534"/>
      <c r="G6" s="534"/>
      <c r="H6" s="215" t="s">
        <v>201</v>
      </c>
      <c r="I6" s="216">
        <v>7.7839999999999998</v>
      </c>
      <c r="J6" s="258"/>
      <c r="K6" s="217">
        <f t="shared" si="0"/>
        <v>0</v>
      </c>
      <c r="HV6" s="215" t="s">
        <v>709</v>
      </c>
      <c r="HW6" s="215" t="s">
        <v>712</v>
      </c>
      <c r="IR6" s="218">
        <f t="shared" si="1"/>
        <v>0</v>
      </c>
      <c r="IS6" s="218">
        <f t="shared" si="2"/>
        <v>0</v>
      </c>
    </row>
    <row r="7" spans="1:253" ht="15" customHeight="1" x14ac:dyDescent="0.3">
      <c r="A7" s="214">
        <v>4</v>
      </c>
      <c r="B7" s="215" t="s">
        <v>717</v>
      </c>
      <c r="C7" s="534" t="s">
        <v>718</v>
      </c>
      <c r="D7" s="534"/>
      <c r="E7" s="534"/>
      <c r="F7" s="534"/>
      <c r="G7" s="534"/>
      <c r="H7" s="215" t="s">
        <v>201</v>
      </c>
      <c r="I7" s="216">
        <v>7.7839999999999998</v>
      </c>
      <c r="J7" s="258"/>
      <c r="K7" s="217">
        <f t="shared" si="0"/>
        <v>0</v>
      </c>
      <c r="HV7" s="215" t="s">
        <v>709</v>
      </c>
      <c r="HW7" s="215" t="s">
        <v>712</v>
      </c>
      <c r="IR7" s="218">
        <f t="shared" si="1"/>
        <v>0</v>
      </c>
      <c r="IS7" s="218">
        <f t="shared" si="2"/>
        <v>0</v>
      </c>
    </row>
    <row r="8" spans="1:253" ht="15" customHeight="1" x14ac:dyDescent="0.3">
      <c r="A8" s="214">
        <v>5</v>
      </c>
      <c r="B8" s="215" t="s">
        <v>719</v>
      </c>
      <c r="C8" s="534" t="s">
        <v>720</v>
      </c>
      <c r="D8" s="534"/>
      <c r="E8" s="534"/>
      <c r="F8" s="534"/>
      <c r="G8" s="534"/>
      <c r="H8" s="215" t="s">
        <v>201</v>
      </c>
      <c r="I8" s="216">
        <v>3.3359999999999999</v>
      </c>
      <c r="J8" s="258"/>
      <c r="K8" s="217">
        <f t="shared" si="0"/>
        <v>0</v>
      </c>
      <c r="HV8" s="215" t="s">
        <v>709</v>
      </c>
      <c r="HW8" s="215" t="s">
        <v>712</v>
      </c>
      <c r="IR8" s="218">
        <f t="shared" si="1"/>
        <v>0</v>
      </c>
      <c r="IS8" s="218">
        <f t="shared" si="2"/>
        <v>0</v>
      </c>
    </row>
    <row r="9" spans="1:253" ht="15" customHeight="1" x14ac:dyDescent="0.3">
      <c r="A9" s="214">
        <v>6</v>
      </c>
      <c r="B9" s="215" t="s">
        <v>721</v>
      </c>
      <c r="C9" s="534" t="s">
        <v>722</v>
      </c>
      <c r="D9" s="534"/>
      <c r="E9" s="534"/>
      <c r="F9" s="534"/>
      <c r="G9" s="534"/>
      <c r="H9" s="215" t="s">
        <v>201</v>
      </c>
      <c r="I9" s="216">
        <v>3.3359999999999999</v>
      </c>
      <c r="J9" s="258"/>
      <c r="K9" s="217">
        <f t="shared" si="0"/>
        <v>0</v>
      </c>
      <c r="HV9" s="215" t="s">
        <v>709</v>
      </c>
      <c r="HW9" s="215" t="s">
        <v>712</v>
      </c>
      <c r="IR9" s="218">
        <f t="shared" si="1"/>
        <v>0</v>
      </c>
      <c r="IS9" s="218">
        <f t="shared" si="2"/>
        <v>0</v>
      </c>
    </row>
    <row r="10" spans="1:253" ht="15" customHeight="1" x14ac:dyDescent="0.3">
      <c r="A10" s="214">
        <v>7</v>
      </c>
      <c r="B10" s="215" t="s">
        <v>210</v>
      </c>
      <c r="C10" s="534" t="s">
        <v>211</v>
      </c>
      <c r="D10" s="534"/>
      <c r="E10" s="534"/>
      <c r="F10" s="534"/>
      <c r="G10" s="534"/>
      <c r="H10" s="215" t="s">
        <v>201</v>
      </c>
      <c r="I10" s="216">
        <v>7.7</v>
      </c>
      <c r="J10" s="258"/>
      <c r="K10" s="217">
        <f t="shared" si="0"/>
        <v>0</v>
      </c>
      <c r="HV10" s="215" t="s">
        <v>709</v>
      </c>
      <c r="HW10" s="215" t="s">
        <v>712</v>
      </c>
      <c r="IR10" s="218">
        <f t="shared" si="1"/>
        <v>0</v>
      </c>
      <c r="IS10" s="218">
        <f t="shared" si="2"/>
        <v>0</v>
      </c>
    </row>
    <row r="11" spans="1:253" ht="15" customHeight="1" x14ac:dyDescent="0.3">
      <c r="A11" s="214">
        <v>8</v>
      </c>
      <c r="B11" s="215" t="s">
        <v>204</v>
      </c>
      <c r="C11" s="534" t="s">
        <v>205</v>
      </c>
      <c r="D11" s="534"/>
      <c r="E11" s="534"/>
      <c r="F11" s="534"/>
      <c r="G11" s="534"/>
      <c r="H11" s="215" t="s">
        <v>201</v>
      </c>
      <c r="I11" s="216">
        <v>4.7534999999999998</v>
      </c>
      <c r="J11" s="258"/>
      <c r="K11" s="217">
        <f t="shared" si="0"/>
        <v>0</v>
      </c>
      <c r="HV11" s="215" t="s">
        <v>709</v>
      </c>
      <c r="HW11" s="215" t="s">
        <v>712</v>
      </c>
      <c r="IR11" s="218">
        <f t="shared" si="1"/>
        <v>0</v>
      </c>
      <c r="IS11" s="218">
        <f t="shared" si="2"/>
        <v>0</v>
      </c>
    </row>
    <row r="12" spans="1:253" ht="15" customHeight="1" x14ac:dyDescent="0.3">
      <c r="A12" s="214">
        <v>9</v>
      </c>
      <c r="B12" s="215" t="s">
        <v>212</v>
      </c>
      <c r="C12" s="534" t="s">
        <v>213</v>
      </c>
      <c r="D12" s="534"/>
      <c r="E12" s="534"/>
      <c r="F12" s="534"/>
      <c r="G12" s="534"/>
      <c r="H12" s="215" t="s">
        <v>201</v>
      </c>
      <c r="I12" s="216">
        <v>77</v>
      </c>
      <c r="J12" s="258"/>
      <c r="K12" s="217">
        <f t="shared" si="0"/>
        <v>0</v>
      </c>
      <c r="HV12" s="215" t="s">
        <v>709</v>
      </c>
      <c r="HW12" s="215" t="s">
        <v>712</v>
      </c>
      <c r="IR12" s="218">
        <f t="shared" si="1"/>
        <v>0</v>
      </c>
      <c r="IS12" s="218">
        <f t="shared" si="2"/>
        <v>0</v>
      </c>
    </row>
    <row r="13" spans="1:253" ht="15" customHeight="1" x14ac:dyDescent="0.3">
      <c r="A13" s="214">
        <v>10</v>
      </c>
      <c r="B13" s="215" t="s">
        <v>208</v>
      </c>
      <c r="C13" s="534" t="s">
        <v>723</v>
      </c>
      <c r="D13" s="534"/>
      <c r="E13" s="534"/>
      <c r="F13" s="534"/>
      <c r="G13" s="534"/>
      <c r="H13" s="215" t="s">
        <v>201</v>
      </c>
      <c r="I13" s="216">
        <v>7.7</v>
      </c>
      <c r="J13" s="258"/>
      <c r="K13" s="217">
        <f t="shared" si="0"/>
        <v>0</v>
      </c>
      <c r="HV13" s="215" t="s">
        <v>709</v>
      </c>
      <c r="HW13" s="215" t="s">
        <v>712</v>
      </c>
      <c r="IR13" s="218">
        <f t="shared" si="1"/>
        <v>0</v>
      </c>
      <c r="IS13" s="218">
        <f t="shared" si="2"/>
        <v>0</v>
      </c>
    </row>
    <row r="14" spans="1:253" ht="15" customHeight="1" x14ac:dyDescent="0.3">
      <c r="A14" s="214">
        <v>11</v>
      </c>
      <c r="B14" s="215" t="s">
        <v>214</v>
      </c>
      <c r="C14" s="534" t="s">
        <v>215</v>
      </c>
      <c r="D14" s="534"/>
      <c r="E14" s="534"/>
      <c r="F14" s="534"/>
      <c r="G14" s="534"/>
      <c r="H14" s="215" t="s">
        <v>201</v>
      </c>
      <c r="I14" s="216">
        <v>7.7</v>
      </c>
      <c r="J14" s="258"/>
      <c r="K14" s="217">
        <f t="shared" si="0"/>
        <v>0</v>
      </c>
      <c r="HV14" s="215" t="s">
        <v>709</v>
      </c>
      <c r="HW14" s="215" t="s">
        <v>712</v>
      </c>
      <c r="IR14" s="218">
        <f t="shared" si="1"/>
        <v>0</v>
      </c>
      <c r="IS14" s="218">
        <f t="shared" si="2"/>
        <v>0</v>
      </c>
    </row>
    <row r="15" spans="1:253" ht="15" customHeight="1" x14ac:dyDescent="0.3">
      <c r="A15" s="214">
        <v>12</v>
      </c>
      <c r="B15" s="215" t="s">
        <v>724</v>
      </c>
      <c r="C15" s="534" t="s">
        <v>725</v>
      </c>
      <c r="D15" s="534"/>
      <c r="E15" s="534"/>
      <c r="F15" s="534"/>
      <c r="G15" s="534"/>
      <c r="H15" s="215" t="s">
        <v>228</v>
      </c>
      <c r="I15" s="216">
        <v>12.86</v>
      </c>
      <c r="J15" s="258"/>
      <c r="K15" s="217">
        <f t="shared" si="0"/>
        <v>0</v>
      </c>
      <c r="HV15" s="215" t="s">
        <v>709</v>
      </c>
      <c r="HW15" s="215" t="s">
        <v>712</v>
      </c>
      <c r="IR15" s="218">
        <f>J15*1</f>
        <v>0</v>
      </c>
      <c r="IS15" s="218">
        <f>J15*(1-1)</f>
        <v>0</v>
      </c>
    </row>
    <row r="16" spans="1:253" ht="15" customHeight="1" x14ac:dyDescent="0.3">
      <c r="A16" s="214">
        <v>13</v>
      </c>
      <c r="B16" s="215" t="s">
        <v>575</v>
      </c>
      <c r="C16" s="534" t="s">
        <v>576</v>
      </c>
      <c r="D16" s="534"/>
      <c r="E16" s="534"/>
      <c r="F16" s="534"/>
      <c r="G16" s="534"/>
      <c r="H16" s="215" t="s">
        <v>201</v>
      </c>
      <c r="I16" s="216">
        <v>9.2669999999999995</v>
      </c>
      <c r="J16" s="258"/>
      <c r="K16" s="217">
        <f t="shared" si="0"/>
        <v>0</v>
      </c>
      <c r="HV16" s="215" t="s">
        <v>709</v>
      </c>
      <c r="HW16" s="215" t="s">
        <v>712</v>
      </c>
      <c r="IR16" s="218">
        <f>J16*0</f>
        <v>0</v>
      </c>
      <c r="IS16" s="218">
        <f>J16*(1-0)</f>
        <v>0</v>
      </c>
    </row>
    <row r="17" spans="1:253" ht="15" customHeight="1" x14ac:dyDescent="0.3">
      <c r="A17" s="214">
        <v>14</v>
      </c>
      <c r="B17" s="215" t="s">
        <v>726</v>
      </c>
      <c r="C17" s="534" t="s">
        <v>727</v>
      </c>
      <c r="D17" s="534"/>
      <c r="E17" s="534"/>
      <c r="F17" s="534"/>
      <c r="G17" s="534"/>
      <c r="H17" s="215" t="s">
        <v>201</v>
      </c>
      <c r="I17" s="216">
        <v>4.468</v>
      </c>
      <c r="J17" s="258"/>
      <c r="K17" s="217">
        <f t="shared" si="0"/>
        <v>0</v>
      </c>
      <c r="HV17" s="215" t="s">
        <v>709</v>
      </c>
      <c r="HW17" s="215" t="s">
        <v>712</v>
      </c>
      <c r="IR17" s="218">
        <f>J17*0.516378931967813</f>
        <v>0</v>
      </c>
      <c r="IS17" s="218">
        <f>J17*(1-0.516378931967813)</f>
        <v>0</v>
      </c>
    </row>
    <row r="18" spans="1:253" ht="15" customHeight="1" x14ac:dyDescent="0.3">
      <c r="A18" s="214">
        <v>15</v>
      </c>
      <c r="B18" s="215" t="s">
        <v>728</v>
      </c>
      <c r="C18" s="534" t="s">
        <v>729</v>
      </c>
      <c r="D18" s="534"/>
      <c r="E18" s="534"/>
      <c r="F18" s="534"/>
      <c r="G18" s="534"/>
      <c r="H18" s="215" t="s">
        <v>197</v>
      </c>
      <c r="I18" s="216">
        <v>11.97</v>
      </c>
      <c r="J18" s="258"/>
      <c r="K18" s="217">
        <f t="shared" si="0"/>
        <v>0</v>
      </c>
      <c r="HV18" s="215" t="s">
        <v>709</v>
      </c>
      <c r="HW18" s="215" t="s">
        <v>712</v>
      </c>
      <c r="IR18" s="218">
        <f t="shared" ref="IR18:IR19" si="3">J18*0</f>
        <v>0</v>
      </c>
      <c r="IS18" s="218">
        <f t="shared" ref="IS18:IS19" si="4">J18*(1-0)</f>
        <v>0</v>
      </c>
    </row>
    <row r="19" spans="1:253" ht="15" customHeight="1" x14ac:dyDescent="0.3">
      <c r="A19" s="214">
        <v>16</v>
      </c>
      <c r="B19" s="215" t="s">
        <v>730</v>
      </c>
      <c r="C19" s="534" t="s">
        <v>731</v>
      </c>
      <c r="D19" s="534"/>
      <c r="E19" s="534"/>
      <c r="F19" s="534"/>
      <c r="G19" s="534"/>
      <c r="H19" s="215" t="s">
        <v>197</v>
      </c>
      <c r="I19" s="216">
        <v>11.97</v>
      </c>
      <c r="J19" s="258"/>
      <c r="K19" s="217">
        <f t="shared" si="0"/>
        <v>0</v>
      </c>
      <c r="HV19" s="215" t="s">
        <v>709</v>
      </c>
      <c r="HW19" s="215" t="s">
        <v>712</v>
      </c>
      <c r="IR19" s="218">
        <f t="shared" si="3"/>
        <v>0</v>
      </c>
      <c r="IS19" s="218">
        <f t="shared" si="4"/>
        <v>0</v>
      </c>
    </row>
    <row r="20" spans="1:253" ht="15" customHeight="1" x14ac:dyDescent="0.3">
      <c r="A20" s="210" t="s">
        <v>708</v>
      </c>
      <c r="B20" s="211" t="s">
        <v>732</v>
      </c>
      <c r="C20" s="535" t="s">
        <v>733</v>
      </c>
      <c r="D20" s="535"/>
      <c r="E20" s="535"/>
      <c r="F20" s="535"/>
      <c r="G20" s="535"/>
      <c r="H20" s="211" t="s">
        <v>708</v>
      </c>
      <c r="I20" s="212" t="s">
        <v>708</v>
      </c>
      <c r="J20" s="212"/>
      <c r="K20" s="213">
        <f>SUM(K21:K24)</f>
        <v>0</v>
      </c>
    </row>
    <row r="21" spans="1:253" ht="15" customHeight="1" x14ac:dyDescent="0.3">
      <c r="A21" s="214">
        <v>17</v>
      </c>
      <c r="B21" s="215" t="s">
        <v>734</v>
      </c>
      <c r="C21" s="534" t="s">
        <v>735</v>
      </c>
      <c r="D21" s="534"/>
      <c r="E21" s="534"/>
      <c r="F21" s="534"/>
      <c r="G21" s="534"/>
      <c r="H21" s="215" t="s">
        <v>201</v>
      </c>
      <c r="I21" s="216">
        <v>0.97199999999999998</v>
      </c>
      <c r="J21" s="258"/>
      <c r="K21" s="217">
        <f t="shared" ref="K21:K24" si="5">IR21*I21+IS21*I21</f>
        <v>0</v>
      </c>
      <c r="HV21" s="215" t="s">
        <v>732</v>
      </c>
      <c r="HW21" s="215" t="s">
        <v>712</v>
      </c>
      <c r="IR21" s="218">
        <f>J21*0.494559770937724</f>
        <v>0</v>
      </c>
      <c r="IS21" s="218">
        <f>J21*(1-0.494559770937724)</f>
        <v>0</v>
      </c>
    </row>
    <row r="22" spans="1:253" ht="15" customHeight="1" x14ac:dyDescent="0.3">
      <c r="A22" s="214">
        <v>18</v>
      </c>
      <c r="B22" s="215" t="s">
        <v>736</v>
      </c>
      <c r="C22" s="534" t="s">
        <v>737</v>
      </c>
      <c r="D22" s="534"/>
      <c r="E22" s="534"/>
      <c r="F22" s="534"/>
      <c r="G22" s="534"/>
      <c r="H22" s="215" t="s">
        <v>201</v>
      </c>
      <c r="I22" s="216">
        <v>0.15</v>
      </c>
      <c r="J22" s="258"/>
      <c r="K22" s="217">
        <f t="shared" si="5"/>
        <v>0</v>
      </c>
      <c r="HV22" s="215" t="s">
        <v>732</v>
      </c>
      <c r="HW22" s="215" t="s">
        <v>712</v>
      </c>
      <c r="IR22" s="218">
        <f>J22*0.500332419559021</f>
        <v>0</v>
      </c>
      <c r="IS22" s="218">
        <f>J22*(1-0.500332419559021)</f>
        <v>0</v>
      </c>
    </row>
    <row r="23" spans="1:253" ht="15" customHeight="1" x14ac:dyDescent="0.3">
      <c r="A23" s="214">
        <v>19</v>
      </c>
      <c r="B23" s="215" t="s">
        <v>738</v>
      </c>
      <c r="C23" s="534" t="s">
        <v>739</v>
      </c>
      <c r="D23" s="534"/>
      <c r="E23" s="534"/>
      <c r="F23" s="534"/>
      <c r="G23" s="534"/>
      <c r="H23" s="215" t="s">
        <v>201</v>
      </c>
      <c r="I23" s="216">
        <v>5.3999999999999999E-2</v>
      </c>
      <c r="J23" s="258"/>
      <c r="K23" s="217">
        <f t="shared" si="5"/>
        <v>0</v>
      </c>
      <c r="HV23" s="215" t="s">
        <v>732</v>
      </c>
      <c r="HW23" s="215" t="s">
        <v>712</v>
      </c>
      <c r="IR23" s="218">
        <f>J23*0.822046012269939</f>
        <v>0</v>
      </c>
      <c r="IS23" s="218">
        <f>J23*(1-0.822046012269939)</f>
        <v>0</v>
      </c>
    </row>
    <row r="24" spans="1:253" ht="15" customHeight="1" x14ac:dyDescent="0.3">
      <c r="A24" s="214">
        <v>20</v>
      </c>
      <c r="B24" s="215" t="s">
        <v>740</v>
      </c>
      <c r="C24" s="534" t="s">
        <v>741</v>
      </c>
      <c r="D24" s="534"/>
      <c r="E24" s="534"/>
      <c r="F24" s="534"/>
      <c r="G24" s="534"/>
      <c r="H24" s="215" t="s">
        <v>197</v>
      </c>
      <c r="I24" s="216">
        <v>0.36</v>
      </c>
      <c r="J24" s="258"/>
      <c r="K24" s="217">
        <f t="shared" si="5"/>
        <v>0</v>
      </c>
      <c r="HV24" s="215" t="s">
        <v>732</v>
      </c>
      <c r="HW24" s="215" t="s">
        <v>712</v>
      </c>
      <c r="IR24" s="218">
        <f>J24*0.212867055011034</f>
        <v>0</v>
      </c>
      <c r="IS24" s="218">
        <f>J24*(1-0.212867055011034)</f>
        <v>0</v>
      </c>
    </row>
    <row r="25" spans="1:253" ht="15" customHeight="1" x14ac:dyDescent="0.3">
      <c r="A25" s="210" t="s">
        <v>708</v>
      </c>
      <c r="B25" s="211" t="s">
        <v>742</v>
      </c>
      <c r="C25" s="535" t="s">
        <v>743</v>
      </c>
      <c r="D25" s="535"/>
      <c r="E25" s="535"/>
      <c r="F25" s="535"/>
      <c r="G25" s="535"/>
      <c r="H25" s="211" t="s">
        <v>708</v>
      </c>
      <c r="I25" s="212" t="s">
        <v>708</v>
      </c>
      <c r="J25" s="212"/>
      <c r="K25" s="213">
        <f>SUM(K26:K39)</f>
        <v>0</v>
      </c>
    </row>
    <row r="26" spans="1:253" ht="15" customHeight="1" x14ac:dyDescent="0.3">
      <c r="A26" s="214">
        <v>21</v>
      </c>
      <c r="B26" s="215" t="s">
        <v>744</v>
      </c>
      <c r="C26" s="534" t="s">
        <v>745</v>
      </c>
      <c r="D26" s="534"/>
      <c r="E26" s="534"/>
      <c r="F26" s="534"/>
      <c r="G26" s="534"/>
      <c r="H26" s="215" t="s">
        <v>192</v>
      </c>
      <c r="I26" s="216">
        <v>10</v>
      </c>
      <c r="J26" s="258"/>
      <c r="K26" s="217">
        <f t="shared" ref="K26:K39" si="6">IR26*I26+IS26*I26</f>
        <v>0</v>
      </c>
      <c r="HV26" s="215" t="s">
        <v>742</v>
      </c>
      <c r="HW26" s="215" t="s">
        <v>712</v>
      </c>
      <c r="IR26" s="218">
        <f>J26*0.0302798006899195</f>
        <v>0</v>
      </c>
      <c r="IS26" s="218">
        <f>J26*(1-0.0302798006899195)</f>
        <v>0</v>
      </c>
    </row>
    <row r="27" spans="1:253" ht="15" customHeight="1" x14ac:dyDescent="0.3">
      <c r="A27" s="214">
        <v>22</v>
      </c>
      <c r="B27" s="215" t="s">
        <v>746</v>
      </c>
      <c r="C27" s="534" t="s">
        <v>747</v>
      </c>
      <c r="D27" s="534"/>
      <c r="E27" s="534"/>
      <c r="F27" s="534"/>
      <c r="G27" s="534"/>
      <c r="H27" s="215" t="s">
        <v>748</v>
      </c>
      <c r="I27" s="216">
        <v>1</v>
      </c>
      <c r="J27" s="258"/>
      <c r="K27" s="217">
        <f t="shared" si="6"/>
        <v>0</v>
      </c>
      <c r="HV27" s="215" t="s">
        <v>742</v>
      </c>
      <c r="HW27" s="215" t="s">
        <v>712</v>
      </c>
      <c r="IR27" s="218">
        <f>J27*0</f>
        <v>0</v>
      </c>
      <c r="IS27" s="218">
        <f>J27*(1-0)</f>
        <v>0</v>
      </c>
    </row>
    <row r="28" spans="1:253" ht="15" customHeight="1" x14ac:dyDescent="0.3">
      <c r="A28" s="214">
        <v>23</v>
      </c>
      <c r="B28" s="215" t="s">
        <v>749</v>
      </c>
      <c r="C28" s="534" t="s">
        <v>750</v>
      </c>
      <c r="D28" s="534"/>
      <c r="E28" s="534"/>
      <c r="F28" s="534"/>
      <c r="G28" s="534"/>
      <c r="H28" s="215" t="s">
        <v>161</v>
      </c>
      <c r="I28" s="216">
        <v>1</v>
      </c>
      <c r="J28" s="258"/>
      <c r="K28" s="217">
        <f t="shared" si="6"/>
        <v>0</v>
      </c>
      <c r="HV28" s="215" t="s">
        <v>742</v>
      </c>
      <c r="HW28" s="215" t="s">
        <v>712</v>
      </c>
      <c r="IR28" s="218">
        <f>J28*0.00790467625899281</f>
        <v>0</v>
      </c>
      <c r="IS28" s="218">
        <f>J28*(1-0.00790467625899281)</f>
        <v>0</v>
      </c>
    </row>
    <row r="29" spans="1:253" ht="15" customHeight="1" x14ac:dyDescent="0.3">
      <c r="A29" s="214">
        <v>24</v>
      </c>
      <c r="B29" s="215" t="s">
        <v>751</v>
      </c>
      <c r="C29" s="534" t="s">
        <v>752</v>
      </c>
      <c r="D29" s="534"/>
      <c r="E29" s="534"/>
      <c r="F29" s="534"/>
      <c r="G29" s="534"/>
      <c r="H29" s="215" t="s">
        <v>161</v>
      </c>
      <c r="I29" s="216">
        <v>1</v>
      </c>
      <c r="J29" s="258"/>
      <c r="K29" s="217">
        <f t="shared" si="6"/>
        <v>0</v>
      </c>
      <c r="HV29" s="215" t="s">
        <v>742</v>
      </c>
      <c r="HW29" s="215" t="s">
        <v>712</v>
      </c>
      <c r="IR29" s="218">
        <f>J29*0.0282327586206897</f>
        <v>0</v>
      </c>
      <c r="IS29" s="218">
        <f>J29*(1-0.0282327586206897)</f>
        <v>0</v>
      </c>
    </row>
    <row r="30" spans="1:253" ht="15" customHeight="1" x14ac:dyDescent="0.3">
      <c r="A30" s="214">
        <v>25</v>
      </c>
      <c r="B30" s="215" t="s">
        <v>753</v>
      </c>
      <c r="C30" s="534" t="s">
        <v>754</v>
      </c>
      <c r="D30" s="534"/>
      <c r="E30" s="534"/>
      <c r="F30" s="534"/>
      <c r="G30" s="534"/>
      <c r="H30" s="215" t="s">
        <v>161</v>
      </c>
      <c r="I30" s="216">
        <v>1</v>
      </c>
      <c r="J30" s="258"/>
      <c r="K30" s="217">
        <f t="shared" si="6"/>
        <v>0</v>
      </c>
      <c r="HV30" s="215" t="s">
        <v>742</v>
      </c>
      <c r="HW30" s="215" t="s">
        <v>712</v>
      </c>
      <c r="IR30" s="218">
        <f t="shared" ref="IR30:IR36" si="7">J30*1</f>
        <v>0</v>
      </c>
      <c r="IS30" s="218">
        <f t="shared" ref="IS30:IS36" si="8">J30*(1-1)</f>
        <v>0</v>
      </c>
    </row>
    <row r="31" spans="1:253" ht="15" customHeight="1" x14ac:dyDescent="0.3">
      <c r="A31" s="214">
        <v>26</v>
      </c>
      <c r="B31" s="215" t="s">
        <v>755</v>
      </c>
      <c r="C31" s="534" t="s">
        <v>756</v>
      </c>
      <c r="D31" s="534"/>
      <c r="E31" s="534"/>
      <c r="F31" s="534"/>
      <c r="G31" s="534"/>
      <c r="H31" s="215" t="s">
        <v>161</v>
      </c>
      <c r="I31" s="216">
        <v>1</v>
      </c>
      <c r="J31" s="258"/>
      <c r="K31" s="217">
        <f t="shared" si="6"/>
        <v>0</v>
      </c>
      <c r="HV31" s="215" t="s">
        <v>742</v>
      </c>
      <c r="HW31" s="215" t="s">
        <v>757</v>
      </c>
      <c r="IR31" s="218">
        <f t="shared" si="7"/>
        <v>0</v>
      </c>
      <c r="IS31" s="218">
        <f t="shared" si="8"/>
        <v>0</v>
      </c>
    </row>
    <row r="32" spans="1:253" ht="15" customHeight="1" x14ac:dyDescent="0.3">
      <c r="A32" s="214">
        <v>27</v>
      </c>
      <c r="B32" s="215" t="s">
        <v>758</v>
      </c>
      <c r="C32" s="534" t="s">
        <v>759</v>
      </c>
      <c r="D32" s="534"/>
      <c r="E32" s="534"/>
      <c r="F32" s="534"/>
      <c r="G32" s="534"/>
      <c r="H32" s="215" t="s">
        <v>760</v>
      </c>
      <c r="I32" s="216">
        <v>1</v>
      </c>
      <c r="J32" s="258"/>
      <c r="K32" s="217">
        <f t="shared" si="6"/>
        <v>0</v>
      </c>
      <c r="HV32" s="215" t="s">
        <v>742</v>
      </c>
      <c r="HW32" s="215" t="s">
        <v>712</v>
      </c>
      <c r="IR32" s="218">
        <f t="shared" si="7"/>
        <v>0</v>
      </c>
      <c r="IS32" s="218">
        <f t="shared" si="8"/>
        <v>0</v>
      </c>
    </row>
    <row r="33" spans="1:253" ht="15" customHeight="1" x14ac:dyDescent="0.3">
      <c r="A33" s="214">
        <v>28</v>
      </c>
      <c r="B33" s="215" t="s">
        <v>761</v>
      </c>
      <c r="C33" s="534" t="s">
        <v>762</v>
      </c>
      <c r="D33" s="534"/>
      <c r="E33" s="534"/>
      <c r="F33" s="534"/>
      <c r="G33" s="534"/>
      <c r="H33" s="215" t="s">
        <v>161</v>
      </c>
      <c r="I33" s="216">
        <v>1</v>
      </c>
      <c r="J33" s="258"/>
      <c r="K33" s="217">
        <f t="shared" si="6"/>
        <v>0</v>
      </c>
      <c r="HV33" s="215" t="s">
        <v>742</v>
      </c>
      <c r="HW33" s="215" t="s">
        <v>712</v>
      </c>
      <c r="IR33" s="218">
        <f t="shared" si="7"/>
        <v>0</v>
      </c>
      <c r="IS33" s="218">
        <f t="shared" si="8"/>
        <v>0</v>
      </c>
    </row>
    <row r="34" spans="1:253" ht="15" customHeight="1" x14ac:dyDescent="0.3">
      <c r="A34" s="214">
        <v>29</v>
      </c>
      <c r="B34" s="215" t="s">
        <v>763</v>
      </c>
      <c r="C34" s="534" t="s">
        <v>764</v>
      </c>
      <c r="D34" s="534"/>
      <c r="E34" s="534"/>
      <c r="F34" s="534"/>
      <c r="G34" s="534"/>
      <c r="H34" s="215" t="s">
        <v>161</v>
      </c>
      <c r="I34" s="216">
        <v>1</v>
      </c>
      <c r="J34" s="258"/>
      <c r="K34" s="217">
        <f t="shared" si="6"/>
        <v>0</v>
      </c>
      <c r="HV34" s="215" t="s">
        <v>742</v>
      </c>
      <c r="HW34" s="215" t="s">
        <v>712</v>
      </c>
      <c r="IR34" s="218">
        <f t="shared" si="7"/>
        <v>0</v>
      </c>
      <c r="IS34" s="218">
        <f t="shared" si="8"/>
        <v>0</v>
      </c>
    </row>
    <row r="35" spans="1:253" ht="15" customHeight="1" x14ac:dyDescent="0.3">
      <c r="A35" s="214">
        <v>30</v>
      </c>
      <c r="B35" s="215" t="s">
        <v>765</v>
      </c>
      <c r="C35" s="534" t="s">
        <v>766</v>
      </c>
      <c r="D35" s="534"/>
      <c r="E35" s="534"/>
      <c r="F35" s="534"/>
      <c r="G35" s="534"/>
      <c r="H35" s="215" t="s">
        <v>161</v>
      </c>
      <c r="I35" s="216">
        <v>1</v>
      </c>
      <c r="J35" s="258"/>
      <c r="K35" s="217">
        <f t="shared" si="6"/>
        <v>0</v>
      </c>
      <c r="HV35" s="215" t="s">
        <v>742</v>
      </c>
      <c r="HW35" s="215" t="s">
        <v>712</v>
      </c>
      <c r="IR35" s="218">
        <f t="shared" si="7"/>
        <v>0</v>
      </c>
      <c r="IS35" s="218">
        <f t="shared" si="8"/>
        <v>0</v>
      </c>
    </row>
    <row r="36" spans="1:253" ht="15" customHeight="1" x14ac:dyDescent="0.3">
      <c r="A36" s="214">
        <v>31</v>
      </c>
      <c r="B36" s="215" t="s">
        <v>767</v>
      </c>
      <c r="C36" s="534" t="s">
        <v>768</v>
      </c>
      <c r="D36" s="534"/>
      <c r="E36" s="534"/>
      <c r="F36" s="534"/>
      <c r="G36" s="534"/>
      <c r="H36" s="215" t="s">
        <v>760</v>
      </c>
      <c r="I36" s="216">
        <v>1</v>
      </c>
      <c r="J36" s="258"/>
      <c r="K36" s="217">
        <f t="shared" si="6"/>
        <v>0</v>
      </c>
      <c r="HV36" s="215" t="s">
        <v>742</v>
      </c>
      <c r="HW36" s="215" t="s">
        <v>712</v>
      </c>
      <c r="IR36" s="218">
        <f t="shared" si="7"/>
        <v>0</v>
      </c>
      <c r="IS36" s="218">
        <f t="shared" si="8"/>
        <v>0</v>
      </c>
    </row>
    <row r="37" spans="1:253" ht="15" customHeight="1" x14ac:dyDescent="0.3">
      <c r="A37" s="214">
        <v>32</v>
      </c>
      <c r="B37" s="215" t="s">
        <v>769</v>
      </c>
      <c r="C37" s="534" t="s">
        <v>770</v>
      </c>
      <c r="D37" s="534"/>
      <c r="E37" s="534"/>
      <c r="F37" s="534"/>
      <c r="G37" s="534"/>
      <c r="H37" s="215" t="s">
        <v>192</v>
      </c>
      <c r="I37" s="216">
        <v>7.5</v>
      </c>
      <c r="J37" s="258"/>
      <c r="K37" s="217">
        <f t="shared" si="6"/>
        <v>0</v>
      </c>
      <c r="HV37" s="215" t="s">
        <v>742</v>
      </c>
      <c r="HW37" s="215" t="s">
        <v>712</v>
      </c>
      <c r="IR37" s="218">
        <f>J37*0.331481481481481</f>
        <v>0</v>
      </c>
      <c r="IS37" s="218">
        <f>J37*(1-0.331481481481481)</f>
        <v>0</v>
      </c>
    </row>
    <row r="38" spans="1:253" ht="15" customHeight="1" x14ac:dyDescent="0.3">
      <c r="A38" s="214">
        <v>33</v>
      </c>
      <c r="B38" s="215" t="s">
        <v>771</v>
      </c>
      <c r="C38" s="534" t="s">
        <v>772</v>
      </c>
      <c r="D38" s="534"/>
      <c r="E38" s="534"/>
      <c r="F38" s="534"/>
      <c r="G38" s="534"/>
      <c r="H38" s="215" t="s">
        <v>161</v>
      </c>
      <c r="I38" s="216">
        <v>1</v>
      </c>
      <c r="J38" s="258"/>
      <c r="K38" s="217">
        <f t="shared" si="6"/>
        <v>0</v>
      </c>
      <c r="HV38" s="215" t="s">
        <v>742</v>
      </c>
      <c r="HW38" s="215" t="s">
        <v>712</v>
      </c>
      <c r="IR38" s="218">
        <f>J38*0.358315132605304</f>
        <v>0</v>
      </c>
      <c r="IS38" s="218">
        <f>J38*(1-0.358315132605304)</f>
        <v>0</v>
      </c>
    </row>
    <row r="39" spans="1:253" ht="15" customHeight="1" x14ac:dyDescent="0.3">
      <c r="A39" s="214">
        <v>34</v>
      </c>
      <c r="B39" s="215" t="s">
        <v>773</v>
      </c>
      <c r="C39" s="534" t="s">
        <v>774</v>
      </c>
      <c r="D39" s="534"/>
      <c r="E39" s="534"/>
      <c r="F39" s="534"/>
      <c r="G39" s="534"/>
      <c r="H39" s="215" t="s">
        <v>228</v>
      </c>
      <c r="I39" s="216">
        <v>10.0402</v>
      </c>
      <c r="J39" s="258"/>
      <c r="K39" s="217">
        <f t="shared" si="6"/>
        <v>0</v>
      </c>
      <c r="HV39" s="215" t="s">
        <v>742</v>
      </c>
      <c r="HW39" s="215" t="s">
        <v>712</v>
      </c>
      <c r="IR39" s="218">
        <f>J39*0</f>
        <v>0</v>
      </c>
      <c r="IS39" s="218">
        <f>J39*(1-0)</f>
        <v>0</v>
      </c>
    </row>
    <row r="40" spans="1:253" ht="15" customHeight="1" x14ac:dyDescent="0.3">
      <c r="A40" s="210" t="s">
        <v>708</v>
      </c>
      <c r="B40" s="211" t="s">
        <v>775</v>
      </c>
      <c r="C40" s="535" t="s">
        <v>776</v>
      </c>
      <c r="D40" s="535"/>
      <c r="E40" s="535"/>
      <c r="F40" s="535"/>
      <c r="G40" s="535"/>
      <c r="H40" s="211" t="s">
        <v>708</v>
      </c>
      <c r="I40" s="212" t="s">
        <v>708</v>
      </c>
      <c r="J40" s="212"/>
      <c r="K40" s="213">
        <f>SUM(K41:K58)</f>
        <v>0</v>
      </c>
    </row>
    <row r="41" spans="1:253" ht="15" customHeight="1" x14ac:dyDescent="0.3">
      <c r="A41" s="214">
        <v>35</v>
      </c>
      <c r="B41" s="215" t="s">
        <v>777</v>
      </c>
      <c r="C41" s="534" t="s">
        <v>778</v>
      </c>
      <c r="D41" s="534"/>
      <c r="E41" s="534"/>
      <c r="F41" s="534"/>
      <c r="G41" s="534"/>
      <c r="H41" s="215" t="s">
        <v>161</v>
      </c>
      <c r="I41" s="216">
        <v>3</v>
      </c>
      <c r="J41" s="258"/>
      <c r="K41" s="217">
        <f t="shared" ref="K41:K58" si="9">IR41*I41+IS41*I41</f>
        <v>0</v>
      </c>
      <c r="HV41" s="215" t="s">
        <v>775</v>
      </c>
      <c r="HW41" s="215" t="s">
        <v>712</v>
      </c>
      <c r="IR41" s="218">
        <f>J41*0.239117199391172</f>
        <v>0</v>
      </c>
      <c r="IS41" s="218">
        <f>J41*(1-0.239117199391172)</f>
        <v>0</v>
      </c>
    </row>
    <row r="42" spans="1:253" ht="15" customHeight="1" x14ac:dyDescent="0.3">
      <c r="A42" s="214">
        <v>36</v>
      </c>
      <c r="B42" s="215" t="s">
        <v>779</v>
      </c>
      <c r="C42" s="534" t="s">
        <v>780</v>
      </c>
      <c r="D42" s="534"/>
      <c r="E42" s="534"/>
      <c r="F42" s="534"/>
      <c r="G42" s="534"/>
      <c r="H42" s="215" t="s">
        <v>161</v>
      </c>
      <c r="I42" s="216">
        <v>1</v>
      </c>
      <c r="J42" s="258"/>
      <c r="K42" s="217">
        <f t="shared" si="9"/>
        <v>0</v>
      </c>
      <c r="HV42" s="215" t="s">
        <v>775</v>
      </c>
      <c r="HW42" s="215" t="s">
        <v>712</v>
      </c>
      <c r="IR42" s="218">
        <f>J42*0.205555555555556</f>
        <v>0</v>
      </c>
      <c r="IS42" s="218">
        <f>J42*(1-0.205555555555556)</f>
        <v>0</v>
      </c>
    </row>
    <row r="43" spans="1:253" ht="15" customHeight="1" x14ac:dyDescent="0.3">
      <c r="A43" s="214">
        <v>37</v>
      </c>
      <c r="B43" s="215" t="s">
        <v>781</v>
      </c>
      <c r="C43" s="534" t="s">
        <v>782</v>
      </c>
      <c r="D43" s="534"/>
      <c r="E43" s="534"/>
      <c r="F43" s="534"/>
      <c r="G43" s="534"/>
      <c r="H43" s="215" t="s">
        <v>192</v>
      </c>
      <c r="I43" s="216">
        <v>6.5</v>
      </c>
      <c r="J43" s="258"/>
      <c r="K43" s="217">
        <f t="shared" si="9"/>
        <v>0</v>
      </c>
      <c r="HV43" s="215" t="s">
        <v>775</v>
      </c>
      <c r="HW43" s="215" t="s">
        <v>712</v>
      </c>
      <c r="IR43" s="218">
        <f>J43*0.512020665901263</f>
        <v>0</v>
      </c>
      <c r="IS43" s="218">
        <f>J43*(1-0.512020665901263)</f>
        <v>0</v>
      </c>
    </row>
    <row r="44" spans="1:253" ht="15" customHeight="1" x14ac:dyDescent="0.3">
      <c r="A44" s="214">
        <v>38</v>
      </c>
      <c r="B44" s="215" t="s">
        <v>783</v>
      </c>
      <c r="C44" s="534" t="s">
        <v>784</v>
      </c>
      <c r="D44" s="534"/>
      <c r="E44" s="534"/>
      <c r="F44" s="534"/>
      <c r="G44" s="534"/>
      <c r="H44" s="215" t="s">
        <v>192</v>
      </c>
      <c r="I44" s="216">
        <v>11</v>
      </c>
      <c r="J44" s="258"/>
      <c r="K44" s="217">
        <f t="shared" si="9"/>
        <v>0</v>
      </c>
      <c r="HV44" s="215" t="s">
        <v>775</v>
      </c>
      <c r="HW44" s="215" t="s">
        <v>712</v>
      </c>
      <c r="IR44" s="218">
        <f>J44*0.583712047012733</f>
        <v>0</v>
      </c>
      <c r="IS44" s="218">
        <f>J44*(1-0.583712047012733)</f>
        <v>0</v>
      </c>
    </row>
    <row r="45" spans="1:253" ht="15" customHeight="1" x14ac:dyDescent="0.3">
      <c r="A45" s="214">
        <v>39</v>
      </c>
      <c r="B45" s="215" t="s">
        <v>785</v>
      </c>
      <c r="C45" s="534" t="s">
        <v>786</v>
      </c>
      <c r="D45" s="534"/>
      <c r="E45" s="534"/>
      <c r="F45" s="534"/>
      <c r="G45" s="534"/>
      <c r="H45" s="215" t="s">
        <v>192</v>
      </c>
      <c r="I45" s="216">
        <v>0.5</v>
      </c>
      <c r="J45" s="258"/>
      <c r="K45" s="217">
        <f t="shared" si="9"/>
        <v>0</v>
      </c>
      <c r="HV45" s="215" t="s">
        <v>775</v>
      </c>
      <c r="HW45" s="215" t="s">
        <v>712</v>
      </c>
      <c r="IR45" s="218">
        <f>J45*0.70015873015873</f>
        <v>0</v>
      </c>
      <c r="IS45" s="218">
        <f>J45*(1-0.70015873015873)</f>
        <v>0</v>
      </c>
    </row>
    <row r="46" spans="1:253" ht="15" customHeight="1" x14ac:dyDescent="0.3">
      <c r="A46" s="214">
        <v>40</v>
      </c>
      <c r="B46" s="215" t="s">
        <v>787</v>
      </c>
      <c r="C46" s="534" t="s">
        <v>788</v>
      </c>
      <c r="D46" s="534"/>
      <c r="E46" s="534"/>
      <c r="F46" s="534"/>
      <c r="G46" s="534"/>
      <c r="H46" s="215" t="s">
        <v>192</v>
      </c>
      <c r="I46" s="216">
        <v>3</v>
      </c>
      <c r="J46" s="258"/>
      <c r="K46" s="217">
        <f t="shared" si="9"/>
        <v>0</v>
      </c>
      <c r="HV46" s="215" t="s">
        <v>775</v>
      </c>
      <c r="HW46" s="215" t="s">
        <v>712</v>
      </c>
      <c r="IR46" s="218">
        <f>J46*0.658783542039356</f>
        <v>0</v>
      </c>
      <c r="IS46" s="218">
        <f>J46*(1-0.658783542039356)</f>
        <v>0</v>
      </c>
    </row>
    <row r="47" spans="1:253" ht="15" customHeight="1" x14ac:dyDescent="0.3">
      <c r="A47" s="214">
        <v>41</v>
      </c>
      <c r="B47" s="215" t="s">
        <v>789</v>
      </c>
      <c r="C47" s="534" t="s">
        <v>790</v>
      </c>
      <c r="D47" s="534"/>
      <c r="E47" s="534"/>
      <c r="F47" s="534"/>
      <c r="G47" s="534"/>
      <c r="H47" s="215" t="s">
        <v>192</v>
      </c>
      <c r="I47" s="216">
        <v>0.5</v>
      </c>
      <c r="J47" s="258"/>
      <c r="K47" s="217">
        <f t="shared" si="9"/>
        <v>0</v>
      </c>
      <c r="HV47" s="215" t="s">
        <v>775</v>
      </c>
      <c r="HW47" s="215" t="s">
        <v>712</v>
      </c>
      <c r="IR47" s="218">
        <f>J47*0.659261891744122</f>
        <v>0</v>
      </c>
      <c r="IS47" s="218">
        <f>J47*(1-0.659261891744122)</f>
        <v>0</v>
      </c>
    </row>
    <row r="48" spans="1:253" ht="15" customHeight="1" x14ac:dyDescent="0.3">
      <c r="A48" s="214">
        <v>42</v>
      </c>
      <c r="B48" s="215" t="s">
        <v>791</v>
      </c>
      <c r="C48" s="534" t="s">
        <v>792</v>
      </c>
      <c r="D48" s="534"/>
      <c r="E48" s="534"/>
      <c r="F48" s="534"/>
      <c r="G48" s="534"/>
      <c r="H48" s="215" t="s">
        <v>192</v>
      </c>
      <c r="I48" s="216">
        <v>3.5</v>
      </c>
      <c r="J48" s="258"/>
      <c r="K48" s="217">
        <f t="shared" si="9"/>
        <v>0</v>
      </c>
      <c r="HV48" s="215" t="s">
        <v>775</v>
      </c>
      <c r="HW48" s="215" t="s">
        <v>712</v>
      </c>
      <c r="IR48" s="218">
        <f>J48*0.701377118644068</f>
        <v>0</v>
      </c>
      <c r="IS48" s="218">
        <f>J48*(1-0.701377118644068)</f>
        <v>0</v>
      </c>
    </row>
    <row r="49" spans="1:253" ht="15" customHeight="1" x14ac:dyDescent="0.3">
      <c r="A49" s="214">
        <v>43</v>
      </c>
      <c r="B49" s="215" t="s">
        <v>793</v>
      </c>
      <c r="C49" s="534" t="s">
        <v>794</v>
      </c>
      <c r="D49" s="534"/>
      <c r="E49" s="534"/>
      <c r="F49" s="534"/>
      <c r="G49" s="534"/>
      <c r="H49" s="215" t="s">
        <v>161</v>
      </c>
      <c r="I49" s="216">
        <v>1</v>
      </c>
      <c r="J49" s="258"/>
      <c r="K49" s="217">
        <f t="shared" si="9"/>
        <v>0</v>
      </c>
      <c r="HV49" s="215" t="s">
        <v>775</v>
      </c>
      <c r="HW49" s="215" t="s">
        <v>712</v>
      </c>
      <c r="IR49" s="218">
        <f>J49*0.800379098360656</f>
        <v>0</v>
      </c>
      <c r="IS49" s="218">
        <f>J49*(1-0.800379098360656)</f>
        <v>0</v>
      </c>
    </row>
    <row r="50" spans="1:253" ht="15" customHeight="1" x14ac:dyDescent="0.3">
      <c r="A50" s="214">
        <v>44</v>
      </c>
      <c r="B50" s="215" t="s">
        <v>795</v>
      </c>
      <c r="C50" s="534" t="s">
        <v>796</v>
      </c>
      <c r="D50" s="534"/>
      <c r="E50" s="534"/>
      <c r="F50" s="534"/>
      <c r="G50" s="534"/>
      <c r="H50" s="215" t="s">
        <v>161</v>
      </c>
      <c r="I50" s="216">
        <v>1</v>
      </c>
      <c r="J50" s="258"/>
      <c r="K50" s="217">
        <f t="shared" si="9"/>
        <v>0</v>
      </c>
      <c r="HV50" s="215" t="s">
        <v>775</v>
      </c>
      <c r="HW50" s="215" t="s">
        <v>712</v>
      </c>
      <c r="IR50" s="218">
        <f t="shared" ref="IR50:IR52" si="10">J50*0</f>
        <v>0</v>
      </c>
      <c r="IS50" s="218">
        <f t="shared" ref="IS50:IS52" si="11">J50*(1-0)</f>
        <v>0</v>
      </c>
    </row>
    <row r="51" spans="1:253" ht="15" customHeight="1" x14ac:dyDescent="0.3">
      <c r="A51" s="214">
        <v>45</v>
      </c>
      <c r="B51" s="215" t="s">
        <v>797</v>
      </c>
      <c r="C51" s="534" t="s">
        <v>798</v>
      </c>
      <c r="D51" s="534"/>
      <c r="E51" s="534"/>
      <c r="F51" s="534"/>
      <c r="G51" s="534"/>
      <c r="H51" s="215" t="s">
        <v>161</v>
      </c>
      <c r="I51" s="216">
        <v>2</v>
      </c>
      <c r="J51" s="258"/>
      <c r="K51" s="217">
        <f t="shared" si="9"/>
        <v>0</v>
      </c>
      <c r="HV51" s="215" t="s">
        <v>775</v>
      </c>
      <c r="HW51" s="215" t="s">
        <v>712</v>
      </c>
      <c r="IR51" s="218">
        <f t="shared" si="10"/>
        <v>0</v>
      </c>
      <c r="IS51" s="218">
        <f t="shared" si="11"/>
        <v>0</v>
      </c>
    </row>
    <row r="52" spans="1:253" ht="15" customHeight="1" x14ac:dyDescent="0.3">
      <c r="A52" s="214">
        <v>46</v>
      </c>
      <c r="B52" s="215" t="s">
        <v>799</v>
      </c>
      <c r="C52" s="534" t="s">
        <v>800</v>
      </c>
      <c r="D52" s="534"/>
      <c r="E52" s="534"/>
      <c r="F52" s="534"/>
      <c r="G52" s="534"/>
      <c r="H52" s="215" t="s">
        <v>161</v>
      </c>
      <c r="I52" s="216">
        <v>1</v>
      </c>
      <c r="J52" s="258"/>
      <c r="K52" s="217">
        <f t="shared" si="9"/>
        <v>0</v>
      </c>
      <c r="HV52" s="215" t="s">
        <v>775</v>
      </c>
      <c r="HW52" s="215" t="s">
        <v>712</v>
      </c>
      <c r="IR52" s="218">
        <f t="shared" si="10"/>
        <v>0</v>
      </c>
      <c r="IS52" s="218">
        <f t="shared" si="11"/>
        <v>0</v>
      </c>
    </row>
    <row r="53" spans="1:253" ht="15" customHeight="1" x14ac:dyDescent="0.3">
      <c r="A53" s="214">
        <v>47</v>
      </c>
      <c r="B53" s="215" t="s">
        <v>801</v>
      </c>
      <c r="C53" s="534" t="s">
        <v>802</v>
      </c>
      <c r="D53" s="534"/>
      <c r="E53" s="534"/>
      <c r="F53" s="534"/>
      <c r="G53" s="534"/>
      <c r="H53" s="215" t="s">
        <v>161</v>
      </c>
      <c r="I53" s="216">
        <v>1</v>
      </c>
      <c r="J53" s="258"/>
      <c r="K53" s="217">
        <f t="shared" si="9"/>
        <v>0</v>
      </c>
      <c r="HV53" s="215" t="s">
        <v>775</v>
      </c>
      <c r="HW53" s="215" t="s">
        <v>712</v>
      </c>
      <c r="IR53" s="218">
        <f>J53*0.941389961389961</f>
        <v>0</v>
      </c>
      <c r="IS53" s="218">
        <f>J53*(1-0.941389961389961)</f>
        <v>0</v>
      </c>
    </row>
    <row r="54" spans="1:253" ht="15" customHeight="1" x14ac:dyDescent="0.3">
      <c r="A54" s="214">
        <v>48</v>
      </c>
      <c r="B54" s="215" t="s">
        <v>803</v>
      </c>
      <c r="C54" s="534" t="s">
        <v>804</v>
      </c>
      <c r="D54" s="534"/>
      <c r="E54" s="534"/>
      <c r="F54" s="534"/>
      <c r="G54" s="534"/>
      <c r="H54" s="215" t="s">
        <v>161</v>
      </c>
      <c r="I54" s="216">
        <v>1</v>
      </c>
      <c r="J54" s="258"/>
      <c r="K54" s="217">
        <f t="shared" si="9"/>
        <v>0</v>
      </c>
      <c r="HV54" s="215" t="s">
        <v>775</v>
      </c>
      <c r="HW54" s="215" t="s">
        <v>712</v>
      </c>
      <c r="IR54" s="218">
        <f>J54*0.866520748407858</f>
        <v>0</v>
      </c>
      <c r="IS54" s="218">
        <f>J54*(1-0.866520748407858)</f>
        <v>0</v>
      </c>
    </row>
    <row r="55" spans="1:253" ht="15" customHeight="1" x14ac:dyDescent="0.3">
      <c r="A55" s="214">
        <v>49</v>
      </c>
      <c r="B55" s="215" t="s">
        <v>805</v>
      </c>
      <c r="C55" s="534" t="s">
        <v>806</v>
      </c>
      <c r="D55" s="534"/>
      <c r="E55" s="534"/>
      <c r="F55" s="534"/>
      <c r="G55" s="534"/>
      <c r="H55" s="215" t="s">
        <v>161</v>
      </c>
      <c r="I55" s="216">
        <v>1</v>
      </c>
      <c r="J55" s="258"/>
      <c r="K55" s="217">
        <f t="shared" si="9"/>
        <v>0</v>
      </c>
      <c r="HV55" s="215" t="s">
        <v>775</v>
      </c>
      <c r="HW55" s="215" t="s">
        <v>712</v>
      </c>
      <c r="IR55" s="218">
        <f>J55*0.573613666228647</f>
        <v>0</v>
      </c>
      <c r="IS55" s="218">
        <f>J55*(1-0.573613666228647)</f>
        <v>0</v>
      </c>
    </row>
    <row r="56" spans="1:253" ht="15" customHeight="1" x14ac:dyDescent="0.3">
      <c r="A56" s="214">
        <v>50</v>
      </c>
      <c r="B56" s="215" t="s">
        <v>807</v>
      </c>
      <c r="C56" s="534" t="s">
        <v>808</v>
      </c>
      <c r="D56" s="534"/>
      <c r="E56" s="534"/>
      <c r="F56" s="534"/>
      <c r="G56" s="534"/>
      <c r="H56" s="215" t="s">
        <v>161</v>
      </c>
      <c r="I56" s="216">
        <v>1</v>
      </c>
      <c r="J56" s="258"/>
      <c r="K56" s="217">
        <f t="shared" si="9"/>
        <v>0</v>
      </c>
      <c r="HV56" s="215" t="s">
        <v>775</v>
      </c>
      <c r="HW56" s="215" t="s">
        <v>712</v>
      </c>
      <c r="IR56" s="218">
        <f>J56*0.817502812148481</f>
        <v>0</v>
      </c>
      <c r="IS56" s="218">
        <f>J56*(1-0.817502812148481)</f>
        <v>0</v>
      </c>
    </row>
    <row r="57" spans="1:253" ht="15" customHeight="1" x14ac:dyDescent="0.3">
      <c r="A57" s="214">
        <v>51</v>
      </c>
      <c r="B57" s="215" t="s">
        <v>809</v>
      </c>
      <c r="C57" s="534" t="s">
        <v>810</v>
      </c>
      <c r="D57" s="534"/>
      <c r="E57" s="534"/>
      <c r="F57" s="534"/>
      <c r="G57" s="534"/>
      <c r="H57" s="215" t="s">
        <v>192</v>
      </c>
      <c r="I57" s="216">
        <v>25</v>
      </c>
      <c r="J57" s="258"/>
      <c r="K57" s="217">
        <f t="shared" si="9"/>
        <v>0</v>
      </c>
      <c r="HV57" s="215" t="s">
        <v>775</v>
      </c>
      <c r="HW57" s="215" t="s">
        <v>712</v>
      </c>
      <c r="IR57" s="218">
        <f>J57*0.0281368821292776</f>
        <v>0</v>
      </c>
      <c r="IS57" s="218">
        <f>J57*(1-0.0281368821292776)</f>
        <v>0</v>
      </c>
    </row>
    <row r="58" spans="1:253" ht="15" customHeight="1" x14ac:dyDescent="0.3">
      <c r="A58" s="214">
        <v>52</v>
      </c>
      <c r="B58" s="215" t="s">
        <v>811</v>
      </c>
      <c r="C58" s="534" t="s">
        <v>812</v>
      </c>
      <c r="D58" s="534"/>
      <c r="E58" s="534"/>
      <c r="F58" s="534"/>
      <c r="G58" s="534"/>
      <c r="H58" s="215" t="s">
        <v>0</v>
      </c>
      <c r="I58" s="258"/>
      <c r="J58" s="258"/>
      <c r="K58" s="217">
        <f t="shared" si="9"/>
        <v>0</v>
      </c>
      <c r="HV58" s="215" t="s">
        <v>775</v>
      </c>
      <c r="HW58" s="215" t="s">
        <v>712</v>
      </c>
      <c r="IR58" s="218">
        <f>J58*0</f>
        <v>0</v>
      </c>
      <c r="IS58" s="218">
        <f>J58*(1-0)</f>
        <v>0</v>
      </c>
    </row>
    <row r="59" spans="1:253" ht="15" customHeight="1" x14ac:dyDescent="0.3">
      <c r="A59" s="210" t="s">
        <v>708</v>
      </c>
      <c r="B59" s="211" t="s">
        <v>813</v>
      </c>
      <c r="C59" s="535" t="s">
        <v>814</v>
      </c>
      <c r="D59" s="535"/>
      <c r="E59" s="535"/>
      <c r="F59" s="535"/>
      <c r="G59" s="535"/>
      <c r="H59" s="211" t="s">
        <v>708</v>
      </c>
      <c r="I59" s="212" t="s">
        <v>708</v>
      </c>
      <c r="J59" s="212" t="s">
        <v>708</v>
      </c>
      <c r="K59" s="213">
        <f>SUM(K60:K87)</f>
        <v>0</v>
      </c>
    </row>
    <row r="60" spans="1:253" ht="15" customHeight="1" x14ac:dyDescent="0.3">
      <c r="A60" s="214">
        <v>53</v>
      </c>
      <c r="B60" s="215" t="s">
        <v>815</v>
      </c>
      <c r="C60" s="534" t="s">
        <v>816</v>
      </c>
      <c r="D60" s="534"/>
      <c r="E60" s="534"/>
      <c r="F60" s="534"/>
      <c r="G60" s="534"/>
      <c r="H60" s="215" t="s">
        <v>192</v>
      </c>
      <c r="I60" s="216">
        <v>5</v>
      </c>
      <c r="J60" s="258"/>
      <c r="K60" s="217">
        <f t="shared" ref="K60:K87" si="12">IR60*I60+IS60*I60</f>
        <v>0</v>
      </c>
      <c r="HV60" s="215" t="s">
        <v>813</v>
      </c>
      <c r="HW60" s="215" t="s">
        <v>712</v>
      </c>
      <c r="IR60" s="218">
        <f>J60*0.29319783197832</f>
        <v>0</v>
      </c>
      <c r="IS60" s="218">
        <f>J60*(1-0.29319783197832)</f>
        <v>0</v>
      </c>
    </row>
    <row r="61" spans="1:253" ht="15" customHeight="1" x14ac:dyDescent="0.3">
      <c r="A61" s="214">
        <v>54</v>
      </c>
      <c r="B61" s="215" t="s">
        <v>817</v>
      </c>
      <c r="C61" s="534" t="s">
        <v>818</v>
      </c>
      <c r="D61" s="534"/>
      <c r="E61" s="534"/>
      <c r="F61" s="534"/>
      <c r="G61" s="534"/>
      <c r="H61" s="215" t="s">
        <v>192</v>
      </c>
      <c r="I61" s="216">
        <v>10</v>
      </c>
      <c r="J61" s="258"/>
      <c r="K61" s="217">
        <f t="shared" si="12"/>
        <v>0</v>
      </c>
      <c r="HV61" s="215" t="s">
        <v>813</v>
      </c>
      <c r="HW61" s="215" t="s">
        <v>712</v>
      </c>
      <c r="IR61" s="218">
        <f>J61*0.345550847457627</f>
        <v>0</v>
      </c>
      <c r="IS61" s="218">
        <f>J61*(1-0.345550847457627)</f>
        <v>0</v>
      </c>
    </row>
    <row r="62" spans="1:253" ht="15" customHeight="1" x14ac:dyDescent="0.3">
      <c r="A62" s="214">
        <v>55</v>
      </c>
      <c r="B62" s="215" t="s">
        <v>819</v>
      </c>
      <c r="C62" s="534" t="s">
        <v>820</v>
      </c>
      <c r="D62" s="534"/>
      <c r="E62" s="534"/>
      <c r="F62" s="534"/>
      <c r="G62" s="534"/>
      <c r="H62" s="215" t="s">
        <v>192</v>
      </c>
      <c r="I62" s="216">
        <v>5</v>
      </c>
      <c r="J62" s="258"/>
      <c r="K62" s="217">
        <f t="shared" si="12"/>
        <v>0</v>
      </c>
      <c r="HV62" s="215" t="s">
        <v>813</v>
      </c>
      <c r="HW62" s="215" t="s">
        <v>712</v>
      </c>
      <c r="IR62" s="218">
        <f>J62*0.0402487562189055</f>
        <v>0</v>
      </c>
      <c r="IS62" s="218">
        <f>J62*(1-0.0402487562189055)</f>
        <v>0</v>
      </c>
    </row>
    <row r="63" spans="1:253" ht="15" customHeight="1" x14ac:dyDescent="0.3">
      <c r="A63" s="214">
        <v>56</v>
      </c>
      <c r="B63" s="215" t="s">
        <v>821</v>
      </c>
      <c r="C63" s="534" t="s">
        <v>822</v>
      </c>
      <c r="D63" s="534"/>
      <c r="E63" s="534"/>
      <c r="F63" s="534"/>
      <c r="G63" s="534"/>
      <c r="H63" s="215" t="s">
        <v>192</v>
      </c>
      <c r="I63" s="216">
        <v>10</v>
      </c>
      <c r="J63" s="258"/>
      <c r="K63" s="217">
        <f t="shared" si="12"/>
        <v>0</v>
      </c>
      <c r="HV63" s="215" t="s">
        <v>813</v>
      </c>
      <c r="HW63" s="215" t="s">
        <v>712</v>
      </c>
      <c r="IR63" s="218">
        <f>J63*0.0369406392694064</f>
        <v>0</v>
      </c>
      <c r="IS63" s="218">
        <f>J63*(1-0.0369406392694064)</f>
        <v>0</v>
      </c>
    </row>
    <row r="64" spans="1:253" ht="15" customHeight="1" x14ac:dyDescent="0.3">
      <c r="A64" s="214">
        <v>57</v>
      </c>
      <c r="B64" s="215" t="s">
        <v>823</v>
      </c>
      <c r="C64" s="534" t="s">
        <v>824</v>
      </c>
      <c r="D64" s="534"/>
      <c r="E64" s="534"/>
      <c r="F64" s="534"/>
      <c r="G64" s="534"/>
      <c r="H64" s="215" t="s">
        <v>192</v>
      </c>
      <c r="I64" s="216">
        <v>5</v>
      </c>
      <c r="J64" s="258"/>
      <c r="K64" s="217">
        <f t="shared" si="12"/>
        <v>0</v>
      </c>
      <c r="HV64" s="215" t="s">
        <v>813</v>
      </c>
      <c r="HW64" s="215" t="s">
        <v>712</v>
      </c>
      <c r="IR64" s="218">
        <f>J64*0.263934426229508</f>
        <v>0</v>
      </c>
      <c r="IS64" s="218">
        <f>J64*(1-0.263934426229508)</f>
        <v>0</v>
      </c>
    </row>
    <row r="65" spans="1:253" ht="15" customHeight="1" x14ac:dyDescent="0.3">
      <c r="A65" s="214">
        <v>58</v>
      </c>
      <c r="B65" s="215" t="s">
        <v>825</v>
      </c>
      <c r="C65" s="534" t="s">
        <v>826</v>
      </c>
      <c r="D65" s="534"/>
      <c r="E65" s="534"/>
      <c r="F65" s="534"/>
      <c r="G65" s="534"/>
      <c r="H65" s="215" t="s">
        <v>192</v>
      </c>
      <c r="I65" s="216">
        <v>1</v>
      </c>
      <c r="J65" s="258"/>
      <c r="K65" s="217">
        <f t="shared" si="12"/>
        <v>0</v>
      </c>
      <c r="HV65" s="215" t="s">
        <v>813</v>
      </c>
      <c r="HW65" s="215" t="s">
        <v>712</v>
      </c>
      <c r="IR65" s="218">
        <f>J65*0.278211009174312</f>
        <v>0</v>
      </c>
      <c r="IS65" s="218">
        <f>J65*(1-0.278211009174312)</f>
        <v>0</v>
      </c>
    </row>
    <row r="66" spans="1:253" ht="15" customHeight="1" x14ac:dyDescent="0.3">
      <c r="A66" s="214">
        <v>59</v>
      </c>
      <c r="B66" s="215" t="s">
        <v>827</v>
      </c>
      <c r="C66" s="534" t="s">
        <v>828</v>
      </c>
      <c r="D66" s="534"/>
      <c r="E66" s="534"/>
      <c r="F66" s="534"/>
      <c r="G66" s="534"/>
      <c r="H66" s="215" t="s">
        <v>192</v>
      </c>
      <c r="I66" s="216">
        <v>9</v>
      </c>
      <c r="J66" s="258"/>
      <c r="K66" s="217">
        <f t="shared" si="12"/>
        <v>0</v>
      </c>
      <c r="HV66" s="215" t="s">
        <v>813</v>
      </c>
      <c r="HW66" s="215" t="s">
        <v>712</v>
      </c>
      <c r="IR66" s="218">
        <f>J66*0.443805309734513</f>
        <v>0</v>
      </c>
      <c r="IS66" s="218">
        <f>J66*(1-0.443805309734513)</f>
        <v>0</v>
      </c>
    </row>
    <row r="67" spans="1:253" ht="15" customHeight="1" x14ac:dyDescent="0.3">
      <c r="A67" s="214">
        <v>60</v>
      </c>
      <c r="B67" s="215" t="s">
        <v>829</v>
      </c>
      <c r="C67" s="534" t="s">
        <v>830</v>
      </c>
      <c r="D67" s="534"/>
      <c r="E67" s="534"/>
      <c r="F67" s="534"/>
      <c r="G67" s="534"/>
      <c r="H67" s="215" t="s">
        <v>161</v>
      </c>
      <c r="I67" s="216">
        <v>5</v>
      </c>
      <c r="J67" s="258"/>
      <c r="K67" s="217">
        <f t="shared" si="12"/>
        <v>0</v>
      </c>
      <c r="HV67" s="215" t="s">
        <v>813</v>
      </c>
      <c r="HW67" s="215" t="s">
        <v>712</v>
      </c>
      <c r="IR67" s="218">
        <f t="shared" ref="IR67:IR69" si="13">J67*0</f>
        <v>0</v>
      </c>
      <c r="IS67" s="218">
        <f t="shared" ref="IS67:IS69" si="14">J67*(1-0)</f>
        <v>0</v>
      </c>
    </row>
    <row r="68" spans="1:253" ht="15" customHeight="1" x14ac:dyDescent="0.3">
      <c r="A68" s="214">
        <v>61</v>
      </c>
      <c r="B68" s="215" t="s">
        <v>831</v>
      </c>
      <c r="C68" s="534" t="s">
        <v>832</v>
      </c>
      <c r="D68" s="534"/>
      <c r="E68" s="534"/>
      <c r="F68" s="534"/>
      <c r="G68" s="534"/>
      <c r="H68" s="215" t="s">
        <v>161</v>
      </c>
      <c r="I68" s="216">
        <v>1</v>
      </c>
      <c r="J68" s="258"/>
      <c r="K68" s="217">
        <f t="shared" si="12"/>
        <v>0</v>
      </c>
      <c r="HV68" s="215" t="s">
        <v>813</v>
      </c>
      <c r="HW68" s="215" t="s">
        <v>712</v>
      </c>
      <c r="IR68" s="218">
        <f t="shared" si="13"/>
        <v>0</v>
      </c>
      <c r="IS68" s="218">
        <f t="shared" si="14"/>
        <v>0</v>
      </c>
    </row>
    <row r="69" spans="1:253" ht="15" customHeight="1" x14ac:dyDescent="0.3">
      <c r="A69" s="214">
        <v>62</v>
      </c>
      <c r="B69" s="215" t="s">
        <v>833</v>
      </c>
      <c r="C69" s="534" t="s">
        <v>834</v>
      </c>
      <c r="D69" s="534"/>
      <c r="E69" s="534"/>
      <c r="F69" s="534"/>
      <c r="G69" s="534"/>
      <c r="H69" s="215" t="s">
        <v>161</v>
      </c>
      <c r="I69" s="216">
        <v>1</v>
      </c>
      <c r="J69" s="258"/>
      <c r="K69" s="217">
        <f t="shared" si="12"/>
        <v>0</v>
      </c>
      <c r="HV69" s="215" t="s">
        <v>813</v>
      </c>
      <c r="HW69" s="215" t="s">
        <v>712</v>
      </c>
      <c r="IR69" s="218">
        <f t="shared" si="13"/>
        <v>0</v>
      </c>
      <c r="IS69" s="218">
        <f t="shared" si="14"/>
        <v>0</v>
      </c>
    </row>
    <row r="70" spans="1:253" ht="15" customHeight="1" x14ac:dyDescent="0.3">
      <c r="A70" s="214">
        <v>63</v>
      </c>
      <c r="B70" s="215" t="s">
        <v>835</v>
      </c>
      <c r="C70" s="534" t="s">
        <v>836</v>
      </c>
      <c r="D70" s="534"/>
      <c r="E70" s="534"/>
      <c r="F70" s="534"/>
      <c r="G70" s="534"/>
      <c r="H70" s="215" t="s">
        <v>161</v>
      </c>
      <c r="I70" s="216">
        <v>2</v>
      </c>
      <c r="J70" s="258"/>
      <c r="K70" s="217">
        <f t="shared" si="12"/>
        <v>0</v>
      </c>
      <c r="HV70" s="215" t="s">
        <v>813</v>
      </c>
      <c r="HW70" s="215" t="s">
        <v>712</v>
      </c>
      <c r="IR70" s="218">
        <f>J70*0.497354709418838</f>
        <v>0</v>
      </c>
      <c r="IS70" s="218">
        <f>J70*(1-0.497354709418838)</f>
        <v>0</v>
      </c>
    </row>
    <row r="71" spans="1:253" ht="15" customHeight="1" x14ac:dyDescent="0.3">
      <c r="A71" s="214">
        <v>64</v>
      </c>
      <c r="B71" s="215" t="s">
        <v>837</v>
      </c>
      <c r="C71" s="534" t="s">
        <v>838</v>
      </c>
      <c r="D71" s="534"/>
      <c r="E71" s="534"/>
      <c r="F71" s="534"/>
      <c r="G71" s="534"/>
      <c r="H71" s="215" t="s">
        <v>839</v>
      </c>
      <c r="I71" s="216">
        <v>2</v>
      </c>
      <c r="J71" s="258"/>
      <c r="K71" s="217">
        <f t="shared" si="12"/>
        <v>0</v>
      </c>
      <c r="HV71" s="215" t="s">
        <v>813</v>
      </c>
      <c r="HW71" s="215" t="s">
        <v>712</v>
      </c>
      <c r="IR71" s="218">
        <f>J71*0.504940259636985</f>
        <v>0</v>
      </c>
      <c r="IS71" s="218">
        <f>J71*(1-0.504940259636985)</f>
        <v>0</v>
      </c>
    </row>
    <row r="72" spans="1:253" ht="15" customHeight="1" x14ac:dyDescent="0.3">
      <c r="A72" s="214">
        <v>65</v>
      </c>
      <c r="B72" s="215" t="s">
        <v>840</v>
      </c>
      <c r="C72" s="534" t="s">
        <v>841</v>
      </c>
      <c r="D72" s="534"/>
      <c r="E72" s="534"/>
      <c r="F72" s="534"/>
      <c r="G72" s="534"/>
      <c r="H72" s="215" t="s">
        <v>161</v>
      </c>
      <c r="I72" s="216">
        <v>1</v>
      </c>
      <c r="J72" s="258"/>
      <c r="K72" s="217">
        <f t="shared" si="12"/>
        <v>0</v>
      </c>
      <c r="HV72" s="215" t="s">
        <v>813</v>
      </c>
      <c r="HW72" s="215" t="s">
        <v>712</v>
      </c>
      <c r="IR72" s="218">
        <f>J72*0.812732919254658</f>
        <v>0</v>
      </c>
      <c r="IS72" s="218">
        <f>J72*(1-0.812732919254658)</f>
        <v>0</v>
      </c>
    </row>
    <row r="73" spans="1:253" ht="15" customHeight="1" x14ac:dyDescent="0.3">
      <c r="A73" s="214">
        <v>66</v>
      </c>
      <c r="B73" s="215" t="s">
        <v>842</v>
      </c>
      <c r="C73" s="534" t="s">
        <v>843</v>
      </c>
      <c r="D73" s="534"/>
      <c r="E73" s="534"/>
      <c r="F73" s="534"/>
      <c r="G73" s="534"/>
      <c r="H73" s="215" t="s">
        <v>161</v>
      </c>
      <c r="I73" s="216">
        <v>1</v>
      </c>
      <c r="J73" s="258"/>
      <c r="K73" s="217">
        <f t="shared" si="12"/>
        <v>0</v>
      </c>
      <c r="HV73" s="215" t="s">
        <v>813</v>
      </c>
      <c r="HW73" s="215" t="s">
        <v>712</v>
      </c>
      <c r="IR73" s="218">
        <f>J73*0.848492462311558</f>
        <v>0</v>
      </c>
      <c r="IS73" s="218">
        <f>J73*(1-0.848492462311558)</f>
        <v>0</v>
      </c>
    </row>
    <row r="74" spans="1:253" ht="15" customHeight="1" x14ac:dyDescent="0.3">
      <c r="A74" s="214">
        <v>67</v>
      </c>
      <c r="B74" s="215" t="s">
        <v>844</v>
      </c>
      <c r="C74" s="534" t="s">
        <v>845</v>
      </c>
      <c r="D74" s="534"/>
      <c r="E74" s="534"/>
      <c r="F74" s="534"/>
      <c r="G74" s="534"/>
      <c r="H74" s="215" t="s">
        <v>161</v>
      </c>
      <c r="I74" s="216">
        <v>2</v>
      </c>
      <c r="J74" s="258"/>
      <c r="K74" s="217">
        <f t="shared" si="12"/>
        <v>0</v>
      </c>
      <c r="HV74" s="215" t="s">
        <v>813</v>
      </c>
      <c r="HW74" s="215" t="s">
        <v>712</v>
      </c>
      <c r="IR74" s="218">
        <f>J74*0.0608560311284047</f>
        <v>0</v>
      </c>
      <c r="IS74" s="218">
        <f>J74*(1-0.0608560311284047)</f>
        <v>0</v>
      </c>
    </row>
    <row r="75" spans="1:253" ht="15" customHeight="1" x14ac:dyDescent="0.3">
      <c r="A75" s="214">
        <v>68</v>
      </c>
      <c r="B75" s="215" t="s">
        <v>846</v>
      </c>
      <c r="C75" s="534" t="s">
        <v>847</v>
      </c>
      <c r="D75" s="534"/>
      <c r="E75" s="534"/>
      <c r="F75" s="534"/>
      <c r="G75" s="534"/>
      <c r="H75" s="215" t="s">
        <v>161</v>
      </c>
      <c r="I75" s="216">
        <v>2</v>
      </c>
      <c r="J75" s="258"/>
      <c r="K75" s="217">
        <f t="shared" si="12"/>
        <v>0</v>
      </c>
      <c r="HV75" s="215" t="s">
        <v>813</v>
      </c>
      <c r="HW75" s="215" t="s">
        <v>712</v>
      </c>
      <c r="IR75" s="218">
        <f>J75*0.0427947598253275</f>
        <v>0</v>
      </c>
      <c r="IS75" s="218">
        <f>J75*(1-0.0427947598253275)</f>
        <v>0</v>
      </c>
    </row>
    <row r="76" spans="1:253" ht="15" customHeight="1" x14ac:dyDescent="0.3">
      <c r="A76" s="214">
        <v>69</v>
      </c>
      <c r="B76" s="215" t="s">
        <v>848</v>
      </c>
      <c r="C76" s="534" t="s">
        <v>849</v>
      </c>
      <c r="D76" s="534"/>
      <c r="E76" s="534"/>
      <c r="F76" s="534"/>
      <c r="G76" s="534"/>
      <c r="H76" s="215" t="s">
        <v>161</v>
      </c>
      <c r="I76" s="216">
        <v>1</v>
      </c>
      <c r="J76" s="258"/>
      <c r="K76" s="217">
        <f t="shared" si="12"/>
        <v>0</v>
      </c>
      <c r="HV76" s="215" t="s">
        <v>813</v>
      </c>
      <c r="HW76" s="215" t="s">
        <v>712</v>
      </c>
      <c r="IR76" s="218">
        <f>J76*0.890336134453782</f>
        <v>0</v>
      </c>
      <c r="IS76" s="218">
        <f>J76*(1-0.890336134453782)</f>
        <v>0</v>
      </c>
    </row>
    <row r="77" spans="1:253" ht="15" customHeight="1" x14ac:dyDescent="0.3">
      <c r="A77" s="214">
        <v>70</v>
      </c>
      <c r="B77" s="215" t="s">
        <v>850</v>
      </c>
      <c r="C77" s="534" t="s">
        <v>851</v>
      </c>
      <c r="D77" s="534"/>
      <c r="E77" s="534"/>
      <c r="F77" s="534"/>
      <c r="G77" s="534"/>
      <c r="H77" s="215" t="s">
        <v>161</v>
      </c>
      <c r="I77" s="216">
        <v>1</v>
      </c>
      <c r="J77" s="258"/>
      <c r="K77" s="217">
        <f t="shared" si="12"/>
        <v>0</v>
      </c>
      <c r="HV77" s="215" t="s">
        <v>813</v>
      </c>
      <c r="HW77" s="215" t="s">
        <v>712</v>
      </c>
      <c r="IR77" s="218">
        <f>J77*0.539581036383682</f>
        <v>0</v>
      </c>
      <c r="IS77" s="218">
        <f>J77*(1-0.539581036383682)</f>
        <v>0</v>
      </c>
    </row>
    <row r="78" spans="1:253" ht="15" customHeight="1" x14ac:dyDescent="0.3">
      <c r="A78" s="214">
        <v>71</v>
      </c>
      <c r="B78" s="215" t="s">
        <v>852</v>
      </c>
      <c r="C78" s="534" t="s">
        <v>853</v>
      </c>
      <c r="D78" s="534"/>
      <c r="E78" s="534"/>
      <c r="F78" s="534"/>
      <c r="G78" s="534"/>
      <c r="H78" s="215" t="s">
        <v>192</v>
      </c>
      <c r="I78" s="216">
        <v>15</v>
      </c>
      <c r="J78" s="258"/>
      <c r="K78" s="217">
        <f t="shared" si="12"/>
        <v>0</v>
      </c>
      <c r="HV78" s="215" t="s">
        <v>813</v>
      </c>
      <c r="HW78" s="215" t="s">
        <v>712</v>
      </c>
      <c r="IR78" s="218">
        <f>J78*0.0146496815286624</f>
        <v>0</v>
      </c>
      <c r="IS78" s="218">
        <f>J78*(1-0.0146496815286624)</f>
        <v>0</v>
      </c>
    </row>
    <row r="79" spans="1:253" ht="15" customHeight="1" x14ac:dyDescent="0.3">
      <c r="A79" s="214">
        <v>72</v>
      </c>
      <c r="B79" s="215" t="s">
        <v>854</v>
      </c>
      <c r="C79" s="534" t="s">
        <v>855</v>
      </c>
      <c r="D79" s="534"/>
      <c r="E79" s="534"/>
      <c r="F79" s="534"/>
      <c r="G79" s="534"/>
      <c r="H79" s="215" t="s">
        <v>192</v>
      </c>
      <c r="I79" s="216">
        <v>15</v>
      </c>
      <c r="J79" s="258"/>
      <c r="K79" s="217">
        <f t="shared" si="12"/>
        <v>0</v>
      </c>
      <c r="HV79" s="215" t="s">
        <v>813</v>
      </c>
      <c r="HW79" s="215" t="s">
        <v>712</v>
      </c>
      <c r="IR79" s="218">
        <f>J79*0.0535816618911175</f>
        <v>0</v>
      </c>
      <c r="IS79" s="218">
        <f>J79*(1-0.0535816618911175)</f>
        <v>0</v>
      </c>
    </row>
    <row r="80" spans="1:253" ht="15" customHeight="1" x14ac:dyDescent="0.3">
      <c r="A80" s="214">
        <v>73</v>
      </c>
      <c r="B80" s="215" t="s">
        <v>856</v>
      </c>
      <c r="C80" s="534" t="s">
        <v>857</v>
      </c>
      <c r="D80" s="534"/>
      <c r="E80" s="534"/>
      <c r="F80" s="534"/>
      <c r="G80" s="534"/>
      <c r="H80" s="215" t="s">
        <v>161</v>
      </c>
      <c r="I80" s="216">
        <v>1</v>
      </c>
      <c r="J80" s="258"/>
      <c r="K80" s="217">
        <f t="shared" si="12"/>
        <v>0</v>
      </c>
      <c r="HV80" s="215" t="s">
        <v>813</v>
      </c>
      <c r="HW80" s="215" t="s">
        <v>712</v>
      </c>
      <c r="IR80" s="218">
        <f>J80*0</f>
        <v>0</v>
      </c>
      <c r="IS80" s="218">
        <f>J80*(1-0)</f>
        <v>0</v>
      </c>
    </row>
    <row r="81" spans="1:253" ht="15" customHeight="1" x14ac:dyDescent="0.3">
      <c r="A81" s="214">
        <v>74</v>
      </c>
      <c r="B81" s="215" t="s">
        <v>858</v>
      </c>
      <c r="C81" s="534" t="s">
        <v>859</v>
      </c>
      <c r="D81" s="534"/>
      <c r="E81" s="534"/>
      <c r="F81" s="534"/>
      <c r="G81" s="534"/>
      <c r="H81" s="215" t="s">
        <v>192</v>
      </c>
      <c r="I81" s="216">
        <v>5</v>
      </c>
      <c r="J81" s="258"/>
      <c r="K81" s="217">
        <f t="shared" si="12"/>
        <v>0</v>
      </c>
      <c r="HV81" s="215" t="s">
        <v>813</v>
      </c>
      <c r="HW81" s="215" t="s">
        <v>712</v>
      </c>
      <c r="IR81" s="218">
        <f>J81*0.107166512120811</f>
        <v>0</v>
      </c>
      <c r="IS81" s="218">
        <f>J81*(1-0.107166512120811)</f>
        <v>0</v>
      </c>
    </row>
    <row r="82" spans="1:253" ht="15" customHeight="1" x14ac:dyDescent="0.3">
      <c r="A82" s="214">
        <v>75</v>
      </c>
      <c r="B82" s="215" t="s">
        <v>860</v>
      </c>
      <c r="C82" s="534" t="s">
        <v>861</v>
      </c>
      <c r="D82" s="534"/>
      <c r="E82" s="534"/>
      <c r="F82" s="534"/>
      <c r="G82" s="534"/>
      <c r="H82" s="215" t="s">
        <v>192</v>
      </c>
      <c r="I82" s="216">
        <v>10</v>
      </c>
      <c r="J82" s="258"/>
      <c r="K82" s="217">
        <f t="shared" si="12"/>
        <v>0</v>
      </c>
      <c r="HV82" s="215" t="s">
        <v>813</v>
      </c>
      <c r="HW82" s="215" t="s">
        <v>712</v>
      </c>
      <c r="IR82" s="218">
        <f>J82*0.104373629209134</f>
        <v>0</v>
      </c>
      <c r="IS82" s="218">
        <f>J82*(1-0.104373629209134)</f>
        <v>0</v>
      </c>
    </row>
    <row r="83" spans="1:253" ht="15" customHeight="1" x14ac:dyDescent="0.3">
      <c r="A83" s="214">
        <v>76</v>
      </c>
      <c r="B83" s="215" t="s">
        <v>862</v>
      </c>
      <c r="C83" s="534" t="s">
        <v>863</v>
      </c>
      <c r="D83" s="534"/>
      <c r="E83" s="534"/>
      <c r="F83" s="534"/>
      <c r="G83" s="534"/>
      <c r="H83" s="215" t="s">
        <v>161</v>
      </c>
      <c r="I83" s="216">
        <v>2</v>
      </c>
      <c r="J83" s="258"/>
      <c r="K83" s="217">
        <f t="shared" si="12"/>
        <v>0</v>
      </c>
      <c r="HV83" s="215" t="s">
        <v>813</v>
      </c>
      <c r="HW83" s="215" t="s">
        <v>712</v>
      </c>
      <c r="IR83" s="218">
        <f>J83*0.78669099756691</f>
        <v>0</v>
      </c>
      <c r="IS83" s="218">
        <f>J83*(1-0.78669099756691)</f>
        <v>0</v>
      </c>
    </row>
    <row r="84" spans="1:253" ht="15" customHeight="1" x14ac:dyDescent="0.3">
      <c r="A84" s="214">
        <v>77</v>
      </c>
      <c r="B84" s="215" t="s">
        <v>864</v>
      </c>
      <c r="C84" s="534" t="s">
        <v>865</v>
      </c>
      <c r="D84" s="534"/>
      <c r="E84" s="534"/>
      <c r="F84" s="534"/>
      <c r="G84" s="534"/>
      <c r="H84" s="215" t="s">
        <v>0</v>
      </c>
      <c r="I84" s="258"/>
      <c r="J84" s="258"/>
      <c r="K84" s="217">
        <f t="shared" si="12"/>
        <v>0</v>
      </c>
      <c r="HV84" s="215" t="s">
        <v>813</v>
      </c>
      <c r="HW84" s="215" t="s">
        <v>712</v>
      </c>
      <c r="IR84" s="218">
        <f t="shared" ref="IR84:IR87" si="15">J84*0</f>
        <v>0</v>
      </c>
      <c r="IS84" s="218">
        <f t="shared" ref="IS84:IS87" si="16">J84*(1-0)</f>
        <v>0</v>
      </c>
    </row>
    <row r="85" spans="1:253" ht="15" customHeight="1" x14ac:dyDescent="0.3">
      <c r="A85" s="214">
        <v>78</v>
      </c>
      <c r="B85" s="215" t="s">
        <v>856</v>
      </c>
      <c r="C85" s="534" t="s">
        <v>857</v>
      </c>
      <c r="D85" s="534"/>
      <c r="E85" s="534"/>
      <c r="F85" s="534"/>
      <c r="G85" s="534"/>
      <c r="H85" s="215" t="s">
        <v>161</v>
      </c>
      <c r="I85" s="216">
        <v>10</v>
      </c>
      <c r="J85" s="258"/>
      <c r="K85" s="217">
        <f t="shared" si="12"/>
        <v>0</v>
      </c>
      <c r="HV85" s="215" t="s">
        <v>813</v>
      </c>
      <c r="HW85" s="215" t="s">
        <v>712</v>
      </c>
      <c r="IR85" s="218">
        <f t="shared" si="15"/>
        <v>0</v>
      </c>
      <c r="IS85" s="218">
        <f t="shared" si="16"/>
        <v>0</v>
      </c>
    </row>
    <row r="86" spans="1:253" ht="15" customHeight="1" x14ac:dyDescent="0.3">
      <c r="A86" s="214">
        <v>79</v>
      </c>
      <c r="B86" s="215" t="s">
        <v>866</v>
      </c>
      <c r="C86" s="534" t="s">
        <v>867</v>
      </c>
      <c r="D86" s="534"/>
      <c r="E86" s="534"/>
      <c r="F86" s="534"/>
      <c r="G86" s="534"/>
      <c r="H86" s="215" t="s">
        <v>161</v>
      </c>
      <c r="I86" s="216">
        <v>4</v>
      </c>
      <c r="J86" s="258"/>
      <c r="K86" s="217">
        <f t="shared" si="12"/>
        <v>0</v>
      </c>
      <c r="HV86" s="215" t="s">
        <v>813</v>
      </c>
      <c r="HW86" s="215" t="s">
        <v>712</v>
      </c>
      <c r="IR86" s="218">
        <f t="shared" si="15"/>
        <v>0</v>
      </c>
      <c r="IS86" s="218">
        <f t="shared" si="16"/>
        <v>0</v>
      </c>
    </row>
    <row r="87" spans="1:253" ht="15" customHeight="1" x14ac:dyDescent="0.3">
      <c r="A87" s="214">
        <v>80</v>
      </c>
      <c r="B87" s="215" t="s">
        <v>868</v>
      </c>
      <c r="C87" s="534" t="s">
        <v>869</v>
      </c>
      <c r="D87" s="534"/>
      <c r="E87" s="534"/>
      <c r="F87" s="534"/>
      <c r="G87" s="534"/>
      <c r="H87" s="215" t="s">
        <v>161</v>
      </c>
      <c r="I87" s="216">
        <v>1</v>
      </c>
      <c r="J87" s="258"/>
      <c r="K87" s="217">
        <f t="shared" si="12"/>
        <v>0</v>
      </c>
      <c r="HV87" s="215" t="s">
        <v>813</v>
      </c>
      <c r="HW87" s="215" t="s">
        <v>712</v>
      </c>
      <c r="IR87" s="218">
        <f t="shared" si="15"/>
        <v>0</v>
      </c>
      <c r="IS87" s="218">
        <f t="shared" si="16"/>
        <v>0</v>
      </c>
    </row>
    <row r="88" spans="1:253" ht="15" customHeight="1" x14ac:dyDescent="0.3">
      <c r="A88" s="210" t="s">
        <v>708</v>
      </c>
      <c r="B88" s="211" t="s">
        <v>870</v>
      </c>
      <c r="C88" s="535" t="s">
        <v>871</v>
      </c>
      <c r="D88" s="535"/>
      <c r="E88" s="535"/>
      <c r="F88" s="535"/>
      <c r="G88" s="535"/>
      <c r="H88" s="211" t="s">
        <v>708</v>
      </c>
      <c r="I88" s="212" t="s">
        <v>708</v>
      </c>
      <c r="J88" s="212" t="s">
        <v>708</v>
      </c>
      <c r="K88" s="213">
        <f>SUM(K89:K122)</f>
        <v>0</v>
      </c>
    </row>
    <row r="89" spans="1:253" ht="15" customHeight="1" x14ac:dyDescent="0.3">
      <c r="A89" s="214">
        <v>81</v>
      </c>
      <c r="B89" s="215" t="s">
        <v>872</v>
      </c>
      <c r="C89" s="534" t="s">
        <v>873</v>
      </c>
      <c r="D89" s="534"/>
      <c r="E89" s="534"/>
      <c r="F89" s="534"/>
      <c r="G89" s="534"/>
      <c r="H89" s="215" t="s">
        <v>760</v>
      </c>
      <c r="I89" s="216">
        <v>1</v>
      </c>
      <c r="J89" s="258"/>
      <c r="K89" s="217">
        <f t="shared" ref="K89:K122" si="17">IR89*I89+IS89*I89</f>
        <v>0</v>
      </c>
      <c r="HV89" s="215" t="s">
        <v>870</v>
      </c>
      <c r="HW89" s="215" t="s">
        <v>712</v>
      </c>
      <c r="IR89" s="218">
        <f>J89*0.235352661698321</f>
        <v>0</v>
      </c>
      <c r="IS89" s="218">
        <f>J89*(1-0.235352661698321)</f>
        <v>0</v>
      </c>
    </row>
    <row r="90" spans="1:253" ht="15" customHeight="1" x14ac:dyDescent="0.3">
      <c r="A90" s="214">
        <v>82</v>
      </c>
      <c r="B90" s="215" t="s">
        <v>874</v>
      </c>
      <c r="C90" s="534" t="s">
        <v>875</v>
      </c>
      <c r="D90" s="534"/>
      <c r="E90" s="534"/>
      <c r="F90" s="534"/>
      <c r="G90" s="534"/>
      <c r="H90" s="215" t="s">
        <v>760</v>
      </c>
      <c r="I90" s="216">
        <v>1</v>
      </c>
      <c r="J90" s="258"/>
      <c r="K90" s="217">
        <f t="shared" si="17"/>
        <v>0</v>
      </c>
      <c r="HV90" s="215" t="s">
        <v>870</v>
      </c>
      <c r="HW90" s="215" t="s">
        <v>712</v>
      </c>
      <c r="IR90" s="218">
        <f>J90*0</f>
        <v>0</v>
      </c>
      <c r="IS90" s="218">
        <f>J90*(1-0)</f>
        <v>0</v>
      </c>
    </row>
    <row r="91" spans="1:253" ht="15" customHeight="1" x14ac:dyDescent="0.3">
      <c r="A91" s="214">
        <v>83</v>
      </c>
      <c r="B91" s="215" t="s">
        <v>876</v>
      </c>
      <c r="C91" s="534" t="s">
        <v>877</v>
      </c>
      <c r="D91" s="534"/>
      <c r="E91" s="534"/>
      <c r="F91" s="534"/>
      <c r="G91" s="534"/>
      <c r="H91" s="215" t="s">
        <v>161</v>
      </c>
      <c r="I91" s="216">
        <v>1</v>
      </c>
      <c r="J91" s="258"/>
      <c r="K91" s="217">
        <f t="shared" si="17"/>
        <v>0</v>
      </c>
      <c r="HV91" s="215" t="s">
        <v>870</v>
      </c>
      <c r="HW91" s="215" t="s">
        <v>712</v>
      </c>
      <c r="IR91" s="218">
        <f>J91*1</f>
        <v>0</v>
      </c>
      <c r="IS91" s="218">
        <f>J91*(1-1)</f>
        <v>0</v>
      </c>
    </row>
    <row r="92" spans="1:253" ht="15" customHeight="1" x14ac:dyDescent="0.3">
      <c r="A92" s="214">
        <v>84</v>
      </c>
      <c r="B92" s="215" t="s">
        <v>878</v>
      </c>
      <c r="C92" s="534" t="s">
        <v>879</v>
      </c>
      <c r="D92" s="534"/>
      <c r="E92" s="534"/>
      <c r="F92" s="534"/>
      <c r="G92" s="534"/>
      <c r="H92" s="215" t="s">
        <v>760</v>
      </c>
      <c r="I92" s="216">
        <v>1</v>
      </c>
      <c r="J92" s="258"/>
      <c r="K92" s="217">
        <f t="shared" si="17"/>
        <v>0</v>
      </c>
      <c r="HV92" s="215" t="s">
        <v>870</v>
      </c>
      <c r="HW92" s="215" t="s">
        <v>712</v>
      </c>
      <c r="IR92" s="218">
        <f>J92*0.124568306010929</f>
        <v>0</v>
      </c>
      <c r="IS92" s="218">
        <f>J92*(1-0.124568306010929)</f>
        <v>0</v>
      </c>
    </row>
    <row r="93" spans="1:253" ht="15" customHeight="1" x14ac:dyDescent="0.3">
      <c r="A93" s="214">
        <v>85</v>
      </c>
      <c r="B93" s="215" t="s">
        <v>880</v>
      </c>
      <c r="C93" s="534" t="s">
        <v>881</v>
      </c>
      <c r="D93" s="534"/>
      <c r="E93" s="534"/>
      <c r="F93" s="534"/>
      <c r="G93" s="534"/>
      <c r="H93" s="215" t="s">
        <v>760</v>
      </c>
      <c r="I93" s="216">
        <v>1</v>
      </c>
      <c r="J93" s="258"/>
      <c r="K93" s="217">
        <f t="shared" si="17"/>
        <v>0</v>
      </c>
      <c r="HV93" s="215" t="s">
        <v>870</v>
      </c>
      <c r="HW93" s="215" t="s">
        <v>712</v>
      </c>
      <c r="IR93" s="218">
        <f>J93*0.655194968553459</f>
        <v>0</v>
      </c>
      <c r="IS93" s="218">
        <f>J93*(1-0.655194968553459)</f>
        <v>0</v>
      </c>
    </row>
    <row r="94" spans="1:253" ht="15" customHeight="1" x14ac:dyDescent="0.3">
      <c r="A94" s="214">
        <v>86</v>
      </c>
      <c r="B94" s="215" t="s">
        <v>882</v>
      </c>
      <c r="C94" s="534" t="s">
        <v>883</v>
      </c>
      <c r="D94" s="534"/>
      <c r="E94" s="534"/>
      <c r="F94" s="534"/>
      <c r="G94" s="534"/>
      <c r="H94" s="215" t="s">
        <v>161</v>
      </c>
      <c r="I94" s="216">
        <v>2</v>
      </c>
      <c r="J94" s="258"/>
      <c r="K94" s="217">
        <f t="shared" si="17"/>
        <v>0</v>
      </c>
      <c r="HV94" s="215" t="s">
        <v>870</v>
      </c>
      <c r="HW94" s="215" t="s">
        <v>712</v>
      </c>
      <c r="IR94" s="218">
        <f>J94*0.01482421875</f>
        <v>0</v>
      </c>
      <c r="IS94" s="218">
        <f>J94*(1-0.01482421875)</f>
        <v>0</v>
      </c>
    </row>
    <row r="95" spans="1:253" ht="15" customHeight="1" x14ac:dyDescent="0.3">
      <c r="A95" s="214">
        <v>87</v>
      </c>
      <c r="B95" s="215" t="s">
        <v>884</v>
      </c>
      <c r="C95" s="534" t="s">
        <v>885</v>
      </c>
      <c r="D95" s="534"/>
      <c r="E95" s="534"/>
      <c r="F95" s="534"/>
      <c r="G95" s="534"/>
      <c r="H95" s="215" t="s">
        <v>760</v>
      </c>
      <c r="I95" s="216">
        <v>1</v>
      </c>
      <c r="J95" s="258"/>
      <c r="K95" s="217">
        <f t="shared" si="17"/>
        <v>0</v>
      </c>
      <c r="HV95" s="215" t="s">
        <v>870</v>
      </c>
      <c r="HW95" s="215" t="s">
        <v>712</v>
      </c>
      <c r="IR95" s="218">
        <f>J95*0.329677419354839</f>
        <v>0</v>
      </c>
      <c r="IS95" s="218">
        <f>J95*(1-0.329677419354839)</f>
        <v>0</v>
      </c>
    </row>
    <row r="96" spans="1:253" ht="15" customHeight="1" x14ac:dyDescent="0.3">
      <c r="A96" s="214">
        <v>88</v>
      </c>
      <c r="B96" s="215" t="s">
        <v>886</v>
      </c>
      <c r="C96" s="534" t="s">
        <v>887</v>
      </c>
      <c r="D96" s="534"/>
      <c r="E96" s="534"/>
      <c r="F96" s="534"/>
      <c r="G96" s="534"/>
      <c r="H96" s="215" t="s">
        <v>760</v>
      </c>
      <c r="I96" s="216">
        <v>2</v>
      </c>
      <c r="J96" s="258"/>
      <c r="K96" s="217">
        <f t="shared" si="17"/>
        <v>0</v>
      </c>
      <c r="HV96" s="215" t="s">
        <v>870</v>
      </c>
      <c r="HW96" s="215" t="s">
        <v>712</v>
      </c>
      <c r="IR96" s="218">
        <f>J96*0.275135135135135</f>
        <v>0</v>
      </c>
      <c r="IS96" s="218">
        <f>J96*(1-0.275135135135135)</f>
        <v>0</v>
      </c>
    </row>
    <row r="97" spans="1:253" ht="15" customHeight="1" x14ac:dyDescent="0.3">
      <c r="A97" s="214">
        <v>89</v>
      </c>
      <c r="B97" s="215" t="s">
        <v>888</v>
      </c>
      <c r="C97" s="534" t="s">
        <v>889</v>
      </c>
      <c r="D97" s="534"/>
      <c r="E97" s="534"/>
      <c r="F97" s="534"/>
      <c r="G97" s="534"/>
      <c r="H97" s="215" t="s">
        <v>161</v>
      </c>
      <c r="I97" s="216">
        <v>2</v>
      </c>
      <c r="J97" s="258"/>
      <c r="K97" s="217">
        <f t="shared" si="17"/>
        <v>0</v>
      </c>
      <c r="HV97" s="215" t="s">
        <v>870</v>
      </c>
      <c r="HW97" s="215" t="s">
        <v>712</v>
      </c>
      <c r="IR97" s="218">
        <f>J97*0.0340394269621648</f>
        <v>0</v>
      </c>
      <c r="IS97" s="218">
        <f>J97*(1-0.0340394269621648)</f>
        <v>0</v>
      </c>
    </row>
    <row r="98" spans="1:253" ht="15" customHeight="1" x14ac:dyDescent="0.3">
      <c r="A98" s="214">
        <v>90</v>
      </c>
      <c r="B98" s="215" t="s">
        <v>890</v>
      </c>
      <c r="C98" s="534" t="s">
        <v>891</v>
      </c>
      <c r="D98" s="534"/>
      <c r="E98" s="534"/>
      <c r="F98" s="534"/>
      <c r="G98" s="534"/>
      <c r="H98" s="215" t="s">
        <v>161</v>
      </c>
      <c r="I98" s="216">
        <v>1</v>
      </c>
      <c r="J98" s="258"/>
      <c r="K98" s="217">
        <f t="shared" si="17"/>
        <v>0</v>
      </c>
      <c r="HV98" s="215" t="s">
        <v>870</v>
      </c>
      <c r="HW98" s="215" t="s">
        <v>712</v>
      </c>
      <c r="IR98" s="218">
        <f>J98*0.319722222222222</f>
        <v>0</v>
      </c>
      <c r="IS98" s="218">
        <f>J98*(1-0.319722222222222)</f>
        <v>0</v>
      </c>
    </row>
    <row r="99" spans="1:253" ht="15" customHeight="1" x14ac:dyDescent="0.3">
      <c r="A99" s="214">
        <v>91</v>
      </c>
      <c r="B99" s="215" t="s">
        <v>892</v>
      </c>
      <c r="C99" s="534" t="s">
        <v>893</v>
      </c>
      <c r="D99" s="534"/>
      <c r="E99" s="534"/>
      <c r="F99" s="534"/>
      <c r="G99" s="534"/>
      <c r="H99" s="215" t="s">
        <v>161</v>
      </c>
      <c r="I99" s="216">
        <v>1</v>
      </c>
      <c r="J99" s="258"/>
      <c r="K99" s="217">
        <f t="shared" si="17"/>
        <v>0</v>
      </c>
      <c r="HV99" s="215" t="s">
        <v>870</v>
      </c>
      <c r="HW99" s="215" t="s">
        <v>712</v>
      </c>
      <c r="IR99" s="218">
        <f>J99*0.253890302348973</f>
        <v>0</v>
      </c>
      <c r="IS99" s="218">
        <f>J99*(1-0.253890302348973)</f>
        <v>0</v>
      </c>
    </row>
    <row r="100" spans="1:253" ht="15" customHeight="1" x14ac:dyDescent="0.3">
      <c r="A100" s="214">
        <v>92</v>
      </c>
      <c r="B100" s="215" t="s">
        <v>894</v>
      </c>
      <c r="C100" s="534" t="s">
        <v>895</v>
      </c>
      <c r="D100" s="534"/>
      <c r="E100" s="534"/>
      <c r="F100" s="534"/>
      <c r="G100" s="534"/>
      <c r="H100" s="215" t="s">
        <v>161</v>
      </c>
      <c r="I100" s="216">
        <v>1</v>
      </c>
      <c r="J100" s="258"/>
      <c r="K100" s="217">
        <f t="shared" si="17"/>
        <v>0</v>
      </c>
      <c r="HV100" s="215" t="s">
        <v>870</v>
      </c>
      <c r="HW100" s="215" t="s">
        <v>712</v>
      </c>
      <c r="IR100" s="218">
        <f>J100*0.256079545454545</f>
        <v>0</v>
      </c>
      <c r="IS100" s="218">
        <f>J100*(1-0.256079545454545)</f>
        <v>0</v>
      </c>
    </row>
    <row r="101" spans="1:253" ht="15" customHeight="1" x14ac:dyDescent="0.3">
      <c r="A101" s="214">
        <v>93</v>
      </c>
      <c r="B101" s="215" t="s">
        <v>896</v>
      </c>
      <c r="C101" s="534" t="s">
        <v>897</v>
      </c>
      <c r="D101" s="534"/>
      <c r="E101" s="534"/>
      <c r="F101" s="534"/>
      <c r="G101" s="534"/>
      <c r="H101" s="215" t="s">
        <v>161</v>
      </c>
      <c r="I101" s="216">
        <v>1</v>
      </c>
      <c r="J101" s="258"/>
      <c r="K101" s="217">
        <f t="shared" si="17"/>
        <v>0</v>
      </c>
      <c r="HV101" s="215" t="s">
        <v>870</v>
      </c>
      <c r="HW101" s="215" t="s">
        <v>712</v>
      </c>
      <c r="IR101" s="218">
        <f>J101*0.243977272727273</f>
        <v>0</v>
      </c>
      <c r="IS101" s="218">
        <f>J101*(1-0.243977272727273)</f>
        <v>0</v>
      </c>
    </row>
    <row r="102" spans="1:253" ht="15" customHeight="1" x14ac:dyDescent="0.3">
      <c r="A102" s="214">
        <v>94</v>
      </c>
      <c r="B102" s="215" t="s">
        <v>898</v>
      </c>
      <c r="C102" s="534" t="s">
        <v>899</v>
      </c>
      <c r="D102" s="534"/>
      <c r="E102" s="534"/>
      <c r="F102" s="534"/>
      <c r="G102" s="534"/>
      <c r="H102" s="215" t="s">
        <v>161</v>
      </c>
      <c r="I102" s="216">
        <v>2</v>
      </c>
      <c r="J102" s="258"/>
      <c r="K102" s="217">
        <f t="shared" si="17"/>
        <v>0</v>
      </c>
      <c r="HV102" s="215" t="s">
        <v>870</v>
      </c>
      <c r="HW102" s="215" t="s">
        <v>712</v>
      </c>
      <c r="IR102" s="218">
        <f>J102*0</f>
        <v>0</v>
      </c>
      <c r="IS102" s="218">
        <f>J102*(1-0)</f>
        <v>0</v>
      </c>
    </row>
    <row r="103" spans="1:253" ht="15" customHeight="1" x14ac:dyDescent="0.3">
      <c r="A103" s="214">
        <v>95</v>
      </c>
      <c r="B103" s="215" t="s">
        <v>900</v>
      </c>
      <c r="C103" s="534" t="s">
        <v>901</v>
      </c>
      <c r="D103" s="534"/>
      <c r="E103" s="534"/>
      <c r="F103" s="534"/>
      <c r="G103" s="534"/>
      <c r="H103" s="215" t="s">
        <v>161</v>
      </c>
      <c r="I103" s="216">
        <v>4</v>
      </c>
      <c r="J103" s="258"/>
      <c r="K103" s="217">
        <f t="shared" si="17"/>
        <v>0</v>
      </c>
      <c r="HV103" s="215" t="s">
        <v>870</v>
      </c>
      <c r="HW103" s="215" t="s">
        <v>712</v>
      </c>
      <c r="IR103" s="218">
        <f t="shared" ref="IR103:IR114" si="18">J103*1</f>
        <v>0</v>
      </c>
      <c r="IS103" s="218">
        <f t="shared" ref="IS103:IS114" si="19">J103*(1-1)</f>
        <v>0</v>
      </c>
    </row>
    <row r="104" spans="1:253" ht="15" customHeight="1" x14ac:dyDescent="0.3">
      <c r="A104" s="214">
        <v>96</v>
      </c>
      <c r="B104" s="215" t="s">
        <v>902</v>
      </c>
      <c r="C104" s="534" t="s">
        <v>903</v>
      </c>
      <c r="D104" s="534"/>
      <c r="E104" s="534"/>
      <c r="F104" s="534"/>
      <c r="G104" s="534"/>
      <c r="H104" s="215" t="s">
        <v>161</v>
      </c>
      <c r="I104" s="216">
        <v>1</v>
      </c>
      <c r="J104" s="258"/>
      <c r="K104" s="217">
        <f t="shared" si="17"/>
        <v>0</v>
      </c>
      <c r="HV104" s="215" t="s">
        <v>870</v>
      </c>
      <c r="HW104" s="215" t="s">
        <v>712</v>
      </c>
      <c r="IR104" s="218">
        <f t="shared" si="18"/>
        <v>0</v>
      </c>
      <c r="IS104" s="218">
        <f t="shared" si="19"/>
        <v>0</v>
      </c>
    </row>
    <row r="105" spans="1:253" ht="15" customHeight="1" x14ac:dyDescent="0.3">
      <c r="A105" s="214">
        <v>97</v>
      </c>
      <c r="B105" s="215" t="s">
        <v>904</v>
      </c>
      <c r="C105" s="534" t="s">
        <v>905</v>
      </c>
      <c r="D105" s="534"/>
      <c r="E105" s="534"/>
      <c r="F105" s="534"/>
      <c r="G105" s="534"/>
      <c r="H105" s="215" t="s">
        <v>161</v>
      </c>
      <c r="I105" s="216">
        <v>1</v>
      </c>
      <c r="J105" s="258"/>
      <c r="K105" s="217">
        <f t="shared" si="17"/>
        <v>0</v>
      </c>
      <c r="HV105" s="215" t="s">
        <v>870</v>
      </c>
      <c r="HW105" s="215" t="s">
        <v>712</v>
      </c>
      <c r="IR105" s="218">
        <f t="shared" si="18"/>
        <v>0</v>
      </c>
      <c r="IS105" s="218">
        <f t="shared" si="19"/>
        <v>0</v>
      </c>
    </row>
    <row r="106" spans="1:253" ht="15" customHeight="1" x14ac:dyDescent="0.3">
      <c r="A106" s="214">
        <v>98</v>
      </c>
      <c r="B106" s="215" t="s">
        <v>906</v>
      </c>
      <c r="C106" s="534" t="s">
        <v>907</v>
      </c>
      <c r="D106" s="534"/>
      <c r="E106" s="534"/>
      <c r="F106" s="534"/>
      <c r="G106" s="534"/>
      <c r="H106" s="215" t="s">
        <v>161</v>
      </c>
      <c r="I106" s="216">
        <v>1</v>
      </c>
      <c r="J106" s="258"/>
      <c r="K106" s="217">
        <f t="shared" si="17"/>
        <v>0</v>
      </c>
      <c r="HV106" s="215" t="s">
        <v>870</v>
      </c>
      <c r="HW106" s="215" t="s">
        <v>712</v>
      </c>
      <c r="IR106" s="218">
        <f t="shared" si="18"/>
        <v>0</v>
      </c>
      <c r="IS106" s="218">
        <f t="shared" si="19"/>
        <v>0</v>
      </c>
    </row>
    <row r="107" spans="1:253" ht="15" customHeight="1" x14ac:dyDescent="0.3">
      <c r="A107" s="214">
        <v>99</v>
      </c>
      <c r="B107" s="215" t="s">
        <v>908</v>
      </c>
      <c r="C107" s="534" t="s">
        <v>909</v>
      </c>
      <c r="D107" s="534"/>
      <c r="E107" s="534"/>
      <c r="F107" s="534"/>
      <c r="G107" s="534"/>
      <c r="H107" s="215" t="s">
        <v>161</v>
      </c>
      <c r="I107" s="216">
        <v>1</v>
      </c>
      <c r="J107" s="258"/>
      <c r="K107" s="217">
        <f t="shared" si="17"/>
        <v>0</v>
      </c>
      <c r="HV107" s="215" t="s">
        <v>870</v>
      </c>
      <c r="HW107" s="215" t="s">
        <v>712</v>
      </c>
      <c r="IR107" s="218">
        <f t="shared" si="18"/>
        <v>0</v>
      </c>
      <c r="IS107" s="218">
        <f t="shared" si="19"/>
        <v>0</v>
      </c>
    </row>
    <row r="108" spans="1:253" ht="15" customHeight="1" x14ac:dyDescent="0.3">
      <c r="A108" s="214">
        <v>100</v>
      </c>
      <c r="B108" s="215" t="s">
        <v>910</v>
      </c>
      <c r="C108" s="534" t="s">
        <v>911</v>
      </c>
      <c r="D108" s="534"/>
      <c r="E108" s="534"/>
      <c r="F108" s="534"/>
      <c r="G108" s="534"/>
      <c r="H108" s="215" t="s">
        <v>161</v>
      </c>
      <c r="I108" s="216">
        <v>1</v>
      </c>
      <c r="J108" s="258"/>
      <c r="K108" s="217">
        <f t="shared" si="17"/>
        <v>0</v>
      </c>
      <c r="HV108" s="215" t="s">
        <v>870</v>
      </c>
      <c r="HW108" s="215" t="s">
        <v>712</v>
      </c>
      <c r="IR108" s="218">
        <f t="shared" si="18"/>
        <v>0</v>
      </c>
      <c r="IS108" s="218">
        <f t="shared" si="19"/>
        <v>0</v>
      </c>
    </row>
    <row r="109" spans="1:253" ht="15" customHeight="1" x14ac:dyDescent="0.3">
      <c r="A109" s="214">
        <v>101</v>
      </c>
      <c r="B109" s="215" t="s">
        <v>912</v>
      </c>
      <c r="C109" s="534" t="s">
        <v>913</v>
      </c>
      <c r="D109" s="534"/>
      <c r="E109" s="534"/>
      <c r="F109" s="534"/>
      <c r="G109" s="534"/>
      <c r="H109" s="215" t="s">
        <v>161</v>
      </c>
      <c r="I109" s="216">
        <v>1</v>
      </c>
      <c r="J109" s="258"/>
      <c r="K109" s="217">
        <f t="shared" si="17"/>
        <v>0</v>
      </c>
      <c r="HV109" s="215" t="s">
        <v>870</v>
      </c>
      <c r="HW109" s="215" t="s">
        <v>712</v>
      </c>
      <c r="IR109" s="218">
        <f t="shared" si="18"/>
        <v>0</v>
      </c>
      <c r="IS109" s="218">
        <f t="shared" si="19"/>
        <v>0</v>
      </c>
    </row>
    <row r="110" spans="1:253" ht="15" customHeight="1" x14ac:dyDescent="0.3">
      <c r="A110" s="214">
        <v>102</v>
      </c>
      <c r="B110" s="215" t="s">
        <v>914</v>
      </c>
      <c r="C110" s="534" t="s">
        <v>915</v>
      </c>
      <c r="D110" s="534"/>
      <c r="E110" s="534"/>
      <c r="F110" s="534"/>
      <c r="G110" s="534"/>
      <c r="H110" s="215" t="s">
        <v>161</v>
      </c>
      <c r="I110" s="216">
        <v>1</v>
      </c>
      <c r="J110" s="258"/>
      <c r="K110" s="217">
        <f t="shared" si="17"/>
        <v>0</v>
      </c>
      <c r="HV110" s="215" t="s">
        <v>870</v>
      </c>
      <c r="HW110" s="215" t="s">
        <v>712</v>
      </c>
      <c r="IR110" s="218">
        <f t="shared" si="18"/>
        <v>0</v>
      </c>
      <c r="IS110" s="218">
        <f t="shared" si="19"/>
        <v>0</v>
      </c>
    </row>
    <row r="111" spans="1:253" ht="15" customHeight="1" x14ac:dyDescent="0.3">
      <c r="A111" s="214">
        <v>103</v>
      </c>
      <c r="B111" s="215" t="s">
        <v>916</v>
      </c>
      <c r="C111" s="534" t="s">
        <v>917</v>
      </c>
      <c r="D111" s="534"/>
      <c r="E111" s="534"/>
      <c r="F111" s="534"/>
      <c r="G111" s="534"/>
      <c r="H111" s="215" t="s">
        <v>161</v>
      </c>
      <c r="I111" s="216">
        <v>1</v>
      </c>
      <c r="J111" s="258"/>
      <c r="K111" s="217">
        <f t="shared" si="17"/>
        <v>0</v>
      </c>
      <c r="HV111" s="215" t="s">
        <v>870</v>
      </c>
      <c r="HW111" s="215" t="s">
        <v>712</v>
      </c>
      <c r="IR111" s="218">
        <f t="shared" si="18"/>
        <v>0</v>
      </c>
      <c r="IS111" s="218">
        <f t="shared" si="19"/>
        <v>0</v>
      </c>
    </row>
    <row r="112" spans="1:253" ht="15" customHeight="1" x14ac:dyDescent="0.3">
      <c r="A112" s="214">
        <v>104</v>
      </c>
      <c r="B112" s="215" t="s">
        <v>918</v>
      </c>
      <c r="C112" s="534" t="s">
        <v>919</v>
      </c>
      <c r="D112" s="534"/>
      <c r="E112" s="534"/>
      <c r="F112" s="534"/>
      <c r="G112" s="534"/>
      <c r="H112" s="215" t="s">
        <v>161</v>
      </c>
      <c r="I112" s="216">
        <v>1</v>
      </c>
      <c r="J112" s="258"/>
      <c r="K112" s="217">
        <f t="shared" si="17"/>
        <v>0</v>
      </c>
      <c r="HV112" s="215" t="s">
        <v>870</v>
      </c>
      <c r="HW112" s="215" t="s">
        <v>712</v>
      </c>
      <c r="IR112" s="218">
        <f t="shared" si="18"/>
        <v>0</v>
      </c>
      <c r="IS112" s="218">
        <f t="shared" si="19"/>
        <v>0</v>
      </c>
    </row>
    <row r="113" spans="1:253" ht="15" customHeight="1" x14ac:dyDescent="0.3">
      <c r="A113" s="214">
        <v>105</v>
      </c>
      <c r="B113" s="215" t="s">
        <v>920</v>
      </c>
      <c r="C113" s="534" t="s">
        <v>921</v>
      </c>
      <c r="D113" s="534"/>
      <c r="E113" s="534"/>
      <c r="F113" s="534"/>
      <c r="G113" s="534"/>
      <c r="H113" s="215" t="s">
        <v>161</v>
      </c>
      <c r="I113" s="216">
        <v>1</v>
      </c>
      <c r="J113" s="258"/>
      <c r="K113" s="217">
        <f t="shared" si="17"/>
        <v>0</v>
      </c>
      <c r="HV113" s="215" t="s">
        <v>870</v>
      </c>
      <c r="HW113" s="215" t="s">
        <v>712</v>
      </c>
      <c r="IR113" s="218">
        <f t="shared" si="18"/>
        <v>0</v>
      </c>
      <c r="IS113" s="218">
        <f t="shared" si="19"/>
        <v>0</v>
      </c>
    </row>
    <row r="114" spans="1:253" ht="15" customHeight="1" x14ac:dyDescent="0.3">
      <c r="A114" s="214">
        <v>106</v>
      </c>
      <c r="B114" s="215" t="s">
        <v>922</v>
      </c>
      <c r="C114" s="534" t="s">
        <v>923</v>
      </c>
      <c r="D114" s="534"/>
      <c r="E114" s="534"/>
      <c r="F114" s="534"/>
      <c r="G114" s="534"/>
      <c r="H114" s="215" t="s">
        <v>161</v>
      </c>
      <c r="I114" s="216">
        <v>1</v>
      </c>
      <c r="J114" s="258"/>
      <c r="K114" s="217">
        <f t="shared" si="17"/>
        <v>0</v>
      </c>
      <c r="HV114" s="215" t="s">
        <v>870</v>
      </c>
      <c r="HW114" s="215" t="s">
        <v>712</v>
      </c>
      <c r="IR114" s="218">
        <f t="shared" si="18"/>
        <v>0</v>
      </c>
      <c r="IS114" s="218">
        <f t="shared" si="19"/>
        <v>0</v>
      </c>
    </row>
    <row r="115" spans="1:253" ht="15" customHeight="1" x14ac:dyDescent="0.3">
      <c r="A115" s="214">
        <v>107</v>
      </c>
      <c r="B115" s="215" t="s">
        <v>924</v>
      </c>
      <c r="C115" s="534" t="s">
        <v>925</v>
      </c>
      <c r="D115" s="534"/>
      <c r="E115" s="534"/>
      <c r="F115" s="534"/>
      <c r="G115" s="534"/>
      <c r="H115" s="215" t="s">
        <v>161</v>
      </c>
      <c r="I115" s="216">
        <v>1</v>
      </c>
      <c r="J115" s="258"/>
      <c r="K115" s="217">
        <f t="shared" si="17"/>
        <v>0</v>
      </c>
      <c r="HV115" s="215" t="s">
        <v>870</v>
      </c>
      <c r="HW115" s="215" t="s">
        <v>712</v>
      </c>
      <c r="IR115" s="218">
        <f>J115*0.417540740740741</f>
        <v>0</v>
      </c>
      <c r="IS115" s="218">
        <f>J115*(1-0.417540740740741)</f>
        <v>0</v>
      </c>
    </row>
    <row r="116" spans="1:253" ht="15" customHeight="1" x14ac:dyDescent="0.3">
      <c r="A116" s="214">
        <v>108</v>
      </c>
      <c r="B116" s="215" t="s">
        <v>926</v>
      </c>
      <c r="C116" s="534" t="s">
        <v>927</v>
      </c>
      <c r="D116" s="534"/>
      <c r="E116" s="534"/>
      <c r="F116" s="534"/>
      <c r="G116" s="534"/>
      <c r="H116" s="215" t="s">
        <v>161</v>
      </c>
      <c r="I116" s="216">
        <v>1</v>
      </c>
      <c r="J116" s="258"/>
      <c r="K116" s="217">
        <f t="shared" si="17"/>
        <v>0</v>
      </c>
      <c r="HV116" s="215" t="s">
        <v>870</v>
      </c>
      <c r="HW116" s="215" t="s">
        <v>712</v>
      </c>
      <c r="IR116" s="218">
        <f>J116*0.709555555555556</f>
        <v>0</v>
      </c>
      <c r="IS116" s="218">
        <f>J116*(1-0.709555555555556)</f>
        <v>0</v>
      </c>
    </row>
    <row r="117" spans="1:253" ht="15" customHeight="1" x14ac:dyDescent="0.3">
      <c r="A117" s="214">
        <v>109</v>
      </c>
      <c r="B117" s="215" t="s">
        <v>928</v>
      </c>
      <c r="C117" s="534" t="s">
        <v>929</v>
      </c>
      <c r="D117" s="534"/>
      <c r="E117" s="534"/>
      <c r="F117" s="534"/>
      <c r="G117" s="534"/>
      <c r="H117" s="215" t="s">
        <v>161</v>
      </c>
      <c r="I117" s="216">
        <v>1</v>
      </c>
      <c r="J117" s="258"/>
      <c r="K117" s="217">
        <f t="shared" si="17"/>
        <v>0</v>
      </c>
      <c r="HV117" s="215" t="s">
        <v>870</v>
      </c>
      <c r="HW117" s="215" t="s">
        <v>712</v>
      </c>
      <c r="IR117" s="218">
        <f t="shared" ref="IR117:IR121" si="20">J117*1</f>
        <v>0</v>
      </c>
      <c r="IS117" s="218">
        <f t="shared" ref="IS117:IS121" si="21">J117*(1-1)</f>
        <v>0</v>
      </c>
    </row>
    <row r="118" spans="1:253" ht="15" customHeight="1" x14ac:dyDescent="0.3">
      <c r="A118" s="214">
        <v>110</v>
      </c>
      <c r="B118" s="215" t="s">
        <v>930</v>
      </c>
      <c r="C118" s="534" t="s">
        <v>931</v>
      </c>
      <c r="D118" s="534"/>
      <c r="E118" s="534"/>
      <c r="F118" s="534"/>
      <c r="G118" s="534"/>
      <c r="H118" s="215" t="s">
        <v>161</v>
      </c>
      <c r="I118" s="216">
        <v>2</v>
      </c>
      <c r="J118" s="258"/>
      <c r="K118" s="217">
        <f t="shared" si="17"/>
        <v>0</v>
      </c>
      <c r="HV118" s="215" t="s">
        <v>870</v>
      </c>
      <c r="HW118" s="215" t="s">
        <v>757</v>
      </c>
      <c r="IR118" s="218">
        <f t="shared" si="20"/>
        <v>0</v>
      </c>
      <c r="IS118" s="218">
        <f t="shared" si="21"/>
        <v>0</v>
      </c>
    </row>
    <row r="119" spans="1:253" ht="15" customHeight="1" x14ac:dyDescent="0.3">
      <c r="A119" s="214">
        <v>111</v>
      </c>
      <c r="B119" s="215" t="s">
        <v>932</v>
      </c>
      <c r="C119" s="534" t="s">
        <v>933</v>
      </c>
      <c r="D119" s="534"/>
      <c r="E119" s="534"/>
      <c r="F119" s="534"/>
      <c r="G119" s="534"/>
      <c r="H119" s="215" t="s">
        <v>161</v>
      </c>
      <c r="I119" s="216">
        <v>1</v>
      </c>
      <c r="J119" s="258"/>
      <c r="K119" s="217">
        <f t="shared" si="17"/>
        <v>0</v>
      </c>
      <c r="HV119" s="215" t="s">
        <v>870</v>
      </c>
      <c r="HW119" s="215" t="s">
        <v>712</v>
      </c>
      <c r="IR119" s="218">
        <f t="shared" si="20"/>
        <v>0</v>
      </c>
      <c r="IS119" s="218">
        <f t="shared" si="21"/>
        <v>0</v>
      </c>
    </row>
    <row r="120" spans="1:253" ht="15" customHeight="1" x14ac:dyDescent="0.3">
      <c r="A120" s="214">
        <v>112</v>
      </c>
      <c r="B120" s="215" t="s">
        <v>934</v>
      </c>
      <c r="C120" s="534" t="s">
        <v>935</v>
      </c>
      <c r="D120" s="534"/>
      <c r="E120" s="534"/>
      <c r="F120" s="534"/>
      <c r="G120" s="534"/>
      <c r="H120" s="215" t="s">
        <v>161</v>
      </c>
      <c r="I120" s="216">
        <v>1</v>
      </c>
      <c r="J120" s="258"/>
      <c r="K120" s="217">
        <f t="shared" si="17"/>
        <v>0</v>
      </c>
      <c r="HV120" s="215" t="s">
        <v>870</v>
      </c>
      <c r="HW120" s="215" t="s">
        <v>712</v>
      </c>
      <c r="IR120" s="218">
        <f t="shared" si="20"/>
        <v>0</v>
      </c>
      <c r="IS120" s="218">
        <f t="shared" si="21"/>
        <v>0</v>
      </c>
    </row>
    <row r="121" spans="1:253" ht="15" customHeight="1" x14ac:dyDescent="0.3">
      <c r="A121" s="214">
        <v>113</v>
      </c>
      <c r="B121" s="215" t="s">
        <v>936</v>
      </c>
      <c r="C121" s="534" t="s">
        <v>937</v>
      </c>
      <c r="D121" s="534"/>
      <c r="E121" s="534"/>
      <c r="F121" s="534"/>
      <c r="G121" s="534"/>
      <c r="H121" s="215" t="s">
        <v>161</v>
      </c>
      <c r="I121" s="216">
        <v>1</v>
      </c>
      <c r="J121" s="258"/>
      <c r="K121" s="217">
        <f t="shared" si="17"/>
        <v>0</v>
      </c>
      <c r="HV121" s="215" t="s">
        <v>870</v>
      </c>
      <c r="HW121" s="215" t="s">
        <v>712</v>
      </c>
      <c r="IR121" s="218">
        <f t="shared" si="20"/>
        <v>0</v>
      </c>
      <c r="IS121" s="218">
        <f t="shared" si="21"/>
        <v>0</v>
      </c>
    </row>
    <row r="122" spans="1:253" ht="15" customHeight="1" x14ac:dyDescent="0.3">
      <c r="A122" s="219">
        <v>114</v>
      </c>
      <c r="B122" s="220" t="s">
        <v>938</v>
      </c>
      <c r="C122" s="533" t="s">
        <v>939</v>
      </c>
      <c r="D122" s="533"/>
      <c r="E122" s="533"/>
      <c r="F122" s="533"/>
      <c r="G122" s="533"/>
      <c r="H122" s="220" t="s">
        <v>0</v>
      </c>
      <c r="I122" s="259"/>
      <c r="J122" s="259"/>
      <c r="K122" s="221">
        <f t="shared" si="17"/>
        <v>0</v>
      </c>
      <c r="HV122" s="215" t="s">
        <v>870</v>
      </c>
      <c r="HW122" s="215" t="s">
        <v>712</v>
      </c>
      <c r="IR122" s="218">
        <f>J122*0</f>
        <v>0</v>
      </c>
      <c r="IS122" s="218">
        <f>J122*(1-0)</f>
        <v>0</v>
      </c>
    </row>
    <row r="123" spans="1:253" ht="15" customHeight="1" x14ac:dyDescent="0.3"/>
    <row r="124" spans="1:253" ht="15" customHeight="1" x14ac:dyDescent="0.3">
      <c r="J124" s="222" t="s">
        <v>940</v>
      </c>
      <c r="K124" s="223">
        <f>K3+K20+K25+K40+K59+K88</f>
        <v>0</v>
      </c>
    </row>
  </sheetData>
  <sheetProtection algorithmName="SHA-512" hashValue="4mfQKezF+1EnI8McX2+EyKbUXqDdQLI5TcZPEQtlXKtliT18AOYN0zhfyYPcc0lUnWfGlw2aGPILHQ1S0qXUgA==" saltValue="Ia5aVJmzUD3msZvOc8QCpw==" spinCount="100000" sheet="1" objects="1" scenarios="1"/>
  <mergeCells count="122">
    <mergeCell ref="A1:K1"/>
    <mergeCell ref="C8:G8"/>
    <mergeCell ref="C9:G9"/>
    <mergeCell ref="C10:G10"/>
    <mergeCell ref="C11:G11"/>
    <mergeCell ref="C12:G12"/>
    <mergeCell ref="C13:G13"/>
    <mergeCell ref="C2:G2"/>
    <mergeCell ref="C3:G3"/>
    <mergeCell ref="C4:G4"/>
    <mergeCell ref="C5:G5"/>
    <mergeCell ref="C6:G6"/>
    <mergeCell ref="C7:G7"/>
    <mergeCell ref="C20:G20"/>
    <mergeCell ref="C21:G21"/>
    <mergeCell ref="C22:G22"/>
    <mergeCell ref="C23:G23"/>
    <mergeCell ref="C24:G24"/>
    <mergeCell ref="C25:G25"/>
    <mergeCell ref="C14:G14"/>
    <mergeCell ref="C15:G15"/>
    <mergeCell ref="C16:G16"/>
    <mergeCell ref="C17:G17"/>
    <mergeCell ref="C18:G18"/>
    <mergeCell ref="C19:G19"/>
    <mergeCell ref="C32:G32"/>
    <mergeCell ref="C33:G33"/>
    <mergeCell ref="C34:G34"/>
    <mergeCell ref="C35:G35"/>
    <mergeCell ref="C36:G36"/>
    <mergeCell ref="C37:G37"/>
    <mergeCell ref="C26:G26"/>
    <mergeCell ref="C27:G27"/>
    <mergeCell ref="C28:G28"/>
    <mergeCell ref="C29:G29"/>
    <mergeCell ref="C30:G30"/>
    <mergeCell ref="C31:G31"/>
    <mergeCell ref="C44:G44"/>
    <mergeCell ref="C45:G45"/>
    <mergeCell ref="C46:G46"/>
    <mergeCell ref="C47:G47"/>
    <mergeCell ref="C48:G48"/>
    <mergeCell ref="C49:G49"/>
    <mergeCell ref="C38:G38"/>
    <mergeCell ref="C39:G39"/>
    <mergeCell ref="C40:G40"/>
    <mergeCell ref="C41:G41"/>
    <mergeCell ref="C42:G42"/>
    <mergeCell ref="C43:G43"/>
    <mergeCell ref="C56:G56"/>
    <mergeCell ref="C57:G57"/>
    <mergeCell ref="C58:G58"/>
    <mergeCell ref="C59:G59"/>
    <mergeCell ref="C60:G60"/>
    <mergeCell ref="C61:G61"/>
    <mergeCell ref="C50:G50"/>
    <mergeCell ref="C51:G51"/>
    <mergeCell ref="C52:G52"/>
    <mergeCell ref="C53:G53"/>
    <mergeCell ref="C54:G54"/>
    <mergeCell ref="C55:G55"/>
    <mergeCell ref="C68:G68"/>
    <mergeCell ref="C69:G69"/>
    <mergeCell ref="C70:G70"/>
    <mergeCell ref="C71:G71"/>
    <mergeCell ref="C72:G72"/>
    <mergeCell ref="C73:G73"/>
    <mergeCell ref="C62:G62"/>
    <mergeCell ref="C63:G63"/>
    <mergeCell ref="C64:G64"/>
    <mergeCell ref="C65:G65"/>
    <mergeCell ref="C66:G66"/>
    <mergeCell ref="C67:G67"/>
    <mergeCell ref="C80:G80"/>
    <mergeCell ref="C81:G81"/>
    <mergeCell ref="C82:G82"/>
    <mergeCell ref="C83:G83"/>
    <mergeCell ref="C84:G84"/>
    <mergeCell ref="C85:G85"/>
    <mergeCell ref="C74:G74"/>
    <mergeCell ref="C75:G75"/>
    <mergeCell ref="C76:G76"/>
    <mergeCell ref="C77:G77"/>
    <mergeCell ref="C78:G78"/>
    <mergeCell ref="C79:G79"/>
    <mergeCell ref="C92:G92"/>
    <mergeCell ref="C93:G93"/>
    <mergeCell ref="C94:G94"/>
    <mergeCell ref="C95:G95"/>
    <mergeCell ref="C96:G96"/>
    <mergeCell ref="C97:G97"/>
    <mergeCell ref="C86:G86"/>
    <mergeCell ref="C87:G87"/>
    <mergeCell ref="C88:G88"/>
    <mergeCell ref="C89:G89"/>
    <mergeCell ref="C90:G90"/>
    <mergeCell ref="C91:G91"/>
    <mergeCell ref="C104:G104"/>
    <mergeCell ref="C105:G105"/>
    <mergeCell ref="C106:G106"/>
    <mergeCell ref="C107:G107"/>
    <mergeCell ref="C108:G108"/>
    <mergeCell ref="C109:G109"/>
    <mergeCell ref="C98:G98"/>
    <mergeCell ref="C99:G99"/>
    <mergeCell ref="C100:G100"/>
    <mergeCell ref="C101:G101"/>
    <mergeCell ref="C102:G102"/>
    <mergeCell ref="C103:G103"/>
    <mergeCell ref="C122:G122"/>
    <mergeCell ref="C116:G116"/>
    <mergeCell ref="C117:G117"/>
    <mergeCell ref="C118:G118"/>
    <mergeCell ref="C119:G119"/>
    <mergeCell ref="C120:G120"/>
    <mergeCell ref="C121:G121"/>
    <mergeCell ref="C110:G110"/>
    <mergeCell ref="C111:G111"/>
    <mergeCell ref="C112:G112"/>
    <mergeCell ref="C113:G113"/>
    <mergeCell ref="C114:G114"/>
    <mergeCell ref="C115:G115"/>
  </mergeCells>
  <pageMargins left="0.7" right="0.7" top="0.78740157499999996" bottom="0.78740157499999996" header="0.3" footer="0.3"/>
  <pageSetup paperSize="9" scale="73" orientation="landscape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3"/>
  <sheetViews>
    <sheetView topLeftCell="A12" zoomScaleNormal="100" workbookViewId="0">
      <selection activeCell="G18" sqref="G18"/>
    </sheetView>
  </sheetViews>
  <sheetFormatPr defaultRowHeight="13.2" x14ac:dyDescent="0.25"/>
  <cols>
    <col min="3" max="3" width="48.88671875" customWidth="1"/>
    <col min="7" max="7" width="15.33203125" customWidth="1"/>
    <col min="9" max="9" width="15.33203125" customWidth="1"/>
    <col min="11" max="11" width="18.44140625" customWidth="1"/>
  </cols>
  <sheetData>
    <row r="1" spans="1:11" x14ac:dyDescent="0.25">
      <c r="A1" s="261"/>
      <c r="B1" s="262"/>
      <c r="C1" s="261"/>
      <c r="D1" s="261"/>
      <c r="E1" s="263"/>
      <c r="F1" s="264"/>
      <c r="G1" s="263"/>
      <c r="H1" s="263"/>
      <c r="I1" s="263"/>
      <c r="J1" s="263"/>
      <c r="K1" s="265"/>
    </row>
    <row r="2" spans="1:11" ht="21" x14ac:dyDescent="0.25">
      <c r="A2" s="266" t="s">
        <v>942</v>
      </c>
      <c r="B2" s="267"/>
      <c r="C2" s="268"/>
      <c r="D2" s="268"/>
      <c r="E2" s="269"/>
      <c r="F2" s="270"/>
      <c r="G2" s="269"/>
      <c r="H2" s="269"/>
      <c r="I2" s="271"/>
      <c r="J2" s="271"/>
      <c r="K2" s="272">
        <v>36526</v>
      </c>
    </row>
    <row r="3" spans="1:11" ht="15.6" x14ac:dyDescent="0.3">
      <c r="A3" s="273" t="s">
        <v>943</v>
      </c>
      <c r="B3" s="274"/>
      <c r="C3" s="275" t="s">
        <v>944</v>
      </c>
      <c r="D3" s="276"/>
      <c r="E3" s="277"/>
      <c r="F3" s="278"/>
      <c r="G3" s="279"/>
      <c r="H3" s="280"/>
      <c r="I3" s="281" t="s">
        <v>945</v>
      </c>
      <c r="J3" s="281"/>
      <c r="K3" s="282">
        <v>0</v>
      </c>
    </row>
    <row r="4" spans="1:11" ht="14.4" thickBot="1" x14ac:dyDescent="0.3">
      <c r="A4" s="273" t="s">
        <v>946</v>
      </c>
      <c r="B4" s="274"/>
      <c r="C4" s="283" t="s">
        <v>947</v>
      </c>
      <c r="D4" s="276"/>
      <c r="E4" s="277"/>
      <c r="F4" s="278"/>
      <c r="G4" s="279"/>
      <c r="H4" s="279"/>
      <c r="I4" s="271"/>
      <c r="J4" s="271"/>
      <c r="K4" s="284"/>
    </row>
    <row r="5" spans="1:11" ht="16.2" thickBot="1" x14ac:dyDescent="0.35">
      <c r="A5" s="273" t="s">
        <v>948</v>
      </c>
      <c r="B5" s="274"/>
      <c r="C5" s="285" t="s">
        <v>949</v>
      </c>
      <c r="D5" s="286" t="s">
        <v>950</v>
      </c>
      <c r="E5" s="287"/>
      <c r="F5" s="288"/>
      <c r="G5" s="289">
        <f>G8+G10+G17+G24+G28+G33+G37</f>
        <v>0</v>
      </c>
      <c r="H5" s="290"/>
      <c r="I5" s="289">
        <f>I8+I10+I17+I24+I28+I33+I37</f>
        <v>0</v>
      </c>
      <c r="J5" s="289"/>
      <c r="K5" s="291">
        <f>G5+I5</f>
        <v>0</v>
      </c>
    </row>
    <row r="6" spans="1:11" ht="15.6" x14ac:dyDescent="0.25">
      <c r="A6" s="292"/>
      <c r="B6" s="293"/>
      <c r="C6" s="294"/>
      <c r="D6" s="295"/>
      <c r="E6" s="296"/>
      <c r="F6" s="297"/>
      <c r="G6" s="298"/>
      <c r="H6" s="299"/>
      <c r="I6" s="298"/>
      <c r="J6" s="289"/>
      <c r="K6" s="300"/>
    </row>
    <row r="7" spans="1:11" ht="19.8" thickBot="1" x14ac:dyDescent="0.3">
      <c r="A7" s="301" t="s">
        <v>951</v>
      </c>
      <c r="B7" s="301" t="s">
        <v>952</v>
      </c>
      <c r="C7" s="302" t="s">
        <v>119</v>
      </c>
      <c r="D7" s="302" t="s">
        <v>120</v>
      </c>
      <c r="E7" s="303" t="s">
        <v>121</v>
      </c>
      <c r="F7" s="304" t="s">
        <v>953</v>
      </c>
      <c r="G7" s="303" t="s">
        <v>954</v>
      </c>
      <c r="H7" s="303" t="s">
        <v>955</v>
      </c>
      <c r="I7" s="305" t="s">
        <v>956</v>
      </c>
      <c r="J7" s="306"/>
      <c r="K7" s="307" t="s">
        <v>957</v>
      </c>
    </row>
    <row r="8" spans="1:11" ht="13.8" x14ac:dyDescent="0.25">
      <c r="A8" s="308" t="s">
        <v>958</v>
      </c>
      <c r="B8" s="309"/>
      <c r="C8" s="310" t="s">
        <v>959</v>
      </c>
      <c r="D8" s="311" t="s">
        <v>960</v>
      </c>
      <c r="E8" s="312" t="s">
        <v>961</v>
      </c>
      <c r="F8" s="313"/>
      <c r="G8" s="314">
        <f>SUM(G9)</f>
        <v>0</v>
      </c>
      <c r="H8" s="313"/>
      <c r="I8" s="315">
        <f>SUM(I9)</f>
        <v>0</v>
      </c>
      <c r="J8" s="316"/>
      <c r="K8" s="317">
        <f>SUM(K9)</f>
        <v>0</v>
      </c>
    </row>
    <row r="9" spans="1:11" ht="40.200000000000003" customHeight="1" x14ac:dyDescent="0.25">
      <c r="A9" s="318">
        <v>1</v>
      </c>
      <c r="B9" s="319">
        <v>1</v>
      </c>
      <c r="C9" s="320" t="s">
        <v>962</v>
      </c>
      <c r="D9" s="321" t="s">
        <v>688</v>
      </c>
      <c r="E9" s="322">
        <v>1</v>
      </c>
      <c r="F9" s="260"/>
      <c r="G9" s="322">
        <f>F9*E9</f>
        <v>0</v>
      </c>
      <c r="H9" s="260"/>
      <c r="I9" s="322">
        <f>H9*E9</f>
        <v>0</v>
      </c>
      <c r="J9" s="323"/>
      <c r="K9" s="324">
        <f>I9+G9</f>
        <v>0</v>
      </c>
    </row>
    <row r="10" spans="1:11" ht="40.200000000000003" customHeight="1" x14ac:dyDescent="0.25">
      <c r="A10" s="308" t="s">
        <v>963</v>
      </c>
      <c r="B10" s="325"/>
      <c r="C10" s="310" t="s">
        <v>964</v>
      </c>
      <c r="D10" s="311" t="s">
        <v>960</v>
      </c>
      <c r="E10" s="312" t="s">
        <v>961</v>
      </c>
      <c r="F10" s="313"/>
      <c r="G10" s="314">
        <f>SUM(G11:G16)</f>
        <v>0</v>
      </c>
      <c r="H10" s="313"/>
      <c r="I10" s="315">
        <f>SUM(I11:I16)</f>
        <v>0</v>
      </c>
      <c r="J10" s="316"/>
      <c r="K10" s="326">
        <f>SUM(K11:K16)</f>
        <v>0</v>
      </c>
    </row>
    <row r="11" spans="1:11" ht="40.200000000000003" customHeight="1" x14ac:dyDescent="0.25">
      <c r="A11" s="318">
        <v>2</v>
      </c>
      <c r="B11" s="319">
        <v>2</v>
      </c>
      <c r="C11" s="320" t="s">
        <v>965</v>
      </c>
      <c r="D11" s="321" t="s">
        <v>966</v>
      </c>
      <c r="E11" s="322">
        <v>65</v>
      </c>
      <c r="F11" s="260"/>
      <c r="G11" s="322">
        <f>F11*E11</f>
        <v>0</v>
      </c>
      <c r="H11" s="260"/>
      <c r="I11" s="322">
        <f>H11*E11</f>
        <v>0</v>
      </c>
      <c r="J11" s="323"/>
      <c r="K11" s="324">
        <f>I11+G11</f>
        <v>0</v>
      </c>
    </row>
    <row r="12" spans="1:11" ht="40.200000000000003" customHeight="1" x14ac:dyDescent="0.25">
      <c r="A12" s="318">
        <v>3</v>
      </c>
      <c r="B12" s="319">
        <v>2</v>
      </c>
      <c r="C12" s="320" t="s">
        <v>967</v>
      </c>
      <c r="D12" s="321" t="s">
        <v>966</v>
      </c>
      <c r="E12" s="322">
        <v>4</v>
      </c>
      <c r="F12" s="260"/>
      <c r="G12" s="322">
        <f t="shared" ref="G12:G16" si="0">F12*E12</f>
        <v>0</v>
      </c>
      <c r="H12" s="260"/>
      <c r="I12" s="322">
        <f t="shared" ref="I12:I16" si="1">H12*E12</f>
        <v>0</v>
      </c>
      <c r="J12" s="323"/>
      <c r="K12" s="324">
        <f t="shared" ref="K12:K16" si="2">I12+G12</f>
        <v>0</v>
      </c>
    </row>
    <row r="13" spans="1:11" ht="40.200000000000003" customHeight="1" x14ac:dyDescent="0.25">
      <c r="A13" s="318">
        <v>4</v>
      </c>
      <c r="B13" s="319">
        <v>2</v>
      </c>
      <c r="C13" s="320" t="s">
        <v>968</v>
      </c>
      <c r="D13" s="321" t="s">
        <v>966</v>
      </c>
      <c r="E13" s="322">
        <v>155</v>
      </c>
      <c r="F13" s="260"/>
      <c r="G13" s="322">
        <f t="shared" si="0"/>
        <v>0</v>
      </c>
      <c r="H13" s="260"/>
      <c r="I13" s="322">
        <f t="shared" si="1"/>
        <v>0</v>
      </c>
      <c r="J13" s="323"/>
      <c r="K13" s="324">
        <f t="shared" si="2"/>
        <v>0</v>
      </c>
    </row>
    <row r="14" spans="1:11" ht="40.200000000000003" customHeight="1" x14ac:dyDescent="0.25">
      <c r="A14" s="318">
        <v>5</v>
      </c>
      <c r="B14" s="319">
        <v>2</v>
      </c>
      <c r="C14" s="320" t="s">
        <v>969</v>
      </c>
      <c r="D14" s="321" t="s">
        <v>966</v>
      </c>
      <c r="E14" s="322">
        <v>175</v>
      </c>
      <c r="F14" s="260"/>
      <c r="G14" s="322">
        <f t="shared" si="0"/>
        <v>0</v>
      </c>
      <c r="H14" s="260"/>
      <c r="I14" s="322">
        <f t="shared" si="1"/>
        <v>0</v>
      </c>
      <c r="J14" s="323"/>
      <c r="K14" s="324">
        <f t="shared" si="2"/>
        <v>0</v>
      </c>
    </row>
    <row r="15" spans="1:11" ht="40.200000000000003" customHeight="1" x14ac:dyDescent="0.25">
      <c r="A15" s="318">
        <v>6</v>
      </c>
      <c r="B15" s="319">
        <v>2</v>
      </c>
      <c r="C15" s="320" t="s">
        <v>970</v>
      </c>
      <c r="D15" s="321" t="s">
        <v>966</v>
      </c>
      <c r="E15" s="322">
        <v>15</v>
      </c>
      <c r="F15" s="260"/>
      <c r="G15" s="322">
        <f t="shared" si="0"/>
        <v>0</v>
      </c>
      <c r="H15" s="260"/>
      <c r="I15" s="322">
        <f t="shared" si="1"/>
        <v>0</v>
      </c>
      <c r="J15" s="323"/>
      <c r="K15" s="324">
        <f t="shared" si="2"/>
        <v>0</v>
      </c>
    </row>
    <row r="16" spans="1:11" ht="40.200000000000003" customHeight="1" x14ac:dyDescent="0.25">
      <c r="A16" s="318">
        <v>7</v>
      </c>
      <c r="B16" s="319">
        <v>2</v>
      </c>
      <c r="C16" s="327" t="s">
        <v>1101</v>
      </c>
      <c r="D16" s="321" t="s">
        <v>966</v>
      </c>
      <c r="E16" s="322">
        <v>15</v>
      </c>
      <c r="F16" s="260"/>
      <c r="G16" s="322">
        <f t="shared" si="0"/>
        <v>0</v>
      </c>
      <c r="H16" s="260"/>
      <c r="I16" s="322">
        <f t="shared" si="1"/>
        <v>0</v>
      </c>
      <c r="J16" s="323"/>
      <c r="K16" s="324">
        <f t="shared" si="2"/>
        <v>0</v>
      </c>
    </row>
    <row r="17" spans="1:11" ht="40.200000000000003" customHeight="1" x14ac:dyDescent="0.25">
      <c r="A17" s="308" t="s">
        <v>971</v>
      </c>
      <c r="B17" s="325"/>
      <c r="C17" s="310" t="s">
        <v>972</v>
      </c>
      <c r="D17" s="311" t="s">
        <v>960</v>
      </c>
      <c r="E17" s="312" t="s">
        <v>961</v>
      </c>
      <c r="F17" s="313"/>
      <c r="G17" s="314">
        <f>SUM(G18:G23)</f>
        <v>0</v>
      </c>
      <c r="H17" s="313"/>
      <c r="I17" s="315">
        <f>SUM(I18:I23)</f>
        <v>0</v>
      </c>
      <c r="J17" s="316"/>
      <c r="K17" s="326">
        <f>SUM(K18:K23)</f>
        <v>0</v>
      </c>
    </row>
    <row r="18" spans="1:11" ht="40.200000000000003" customHeight="1" x14ac:dyDescent="0.25">
      <c r="A18" s="318">
        <v>7</v>
      </c>
      <c r="B18" s="319">
        <v>3</v>
      </c>
      <c r="C18" s="328" t="s">
        <v>973</v>
      </c>
      <c r="D18" s="321" t="s">
        <v>616</v>
      </c>
      <c r="E18" s="322">
        <v>41</v>
      </c>
      <c r="F18" s="260"/>
      <c r="G18" s="322">
        <f>F18*E18</f>
        <v>0</v>
      </c>
      <c r="H18" s="260"/>
      <c r="I18" s="322">
        <f>H18*E18</f>
        <v>0</v>
      </c>
      <c r="J18" s="323"/>
      <c r="K18" s="324">
        <f>I18+G18</f>
        <v>0</v>
      </c>
    </row>
    <row r="19" spans="1:11" ht="40.200000000000003" customHeight="1" x14ac:dyDescent="0.25">
      <c r="A19" s="318">
        <v>8</v>
      </c>
      <c r="B19" s="319">
        <v>3</v>
      </c>
      <c r="C19" s="328" t="s">
        <v>974</v>
      </c>
      <c r="D19" s="321" t="s">
        <v>616</v>
      </c>
      <c r="E19" s="322">
        <v>6</v>
      </c>
      <c r="F19" s="260"/>
      <c r="G19" s="322">
        <f t="shared" ref="G19:G23" si="3">F19*E19</f>
        <v>0</v>
      </c>
      <c r="H19" s="260"/>
      <c r="I19" s="322">
        <f t="shared" ref="I19:I23" si="4">H19*E19</f>
        <v>0</v>
      </c>
      <c r="J19" s="323"/>
      <c r="K19" s="324">
        <f t="shared" ref="K19:K23" si="5">I19+G19</f>
        <v>0</v>
      </c>
    </row>
    <row r="20" spans="1:11" ht="40.200000000000003" customHeight="1" x14ac:dyDescent="0.25">
      <c r="A20" s="318">
        <v>9</v>
      </c>
      <c r="B20" s="319">
        <v>3</v>
      </c>
      <c r="C20" s="328" t="s">
        <v>975</v>
      </c>
      <c r="D20" s="321" t="s">
        <v>616</v>
      </c>
      <c r="E20" s="322">
        <v>1</v>
      </c>
      <c r="F20" s="260"/>
      <c r="G20" s="322">
        <f t="shared" si="3"/>
        <v>0</v>
      </c>
      <c r="H20" s="260"/>
      <c r="I20" s="322">
        <f t="shared" si="4"/>
        <v>0</v>
      </c>
      <c r="J20" s="323"/>
      <c r="K20" s="324">
        <f t="shared" si="5"/>
        <v>0</v>
      </c>
    </row>
    <row r="21" spans="1:11" ht="40.200000000000003" customHeight="1" x14ac:dyDescent="0.25">
      <c r="A21" s="318">
        <v>10</v>
      </c>
      <c r="B21" s="319">
        <v>3</v>
      </c>
      <c r="C21" s="328" t="s">
        <v>976</v>
      </c>
      <c r="D21" s="321" t="s">
        <v>616</v>
      </c>
      <c r="E21" s="322">
        <v>19</v>
      </c>
      <c r="F21" s="260"/>
      <c r="G21" s="322">
        <f t="shared" si="3"/>
        <v>0</v>
      </c>
      <c r="H21" s="260"/>
      <c r="I21" s="322">
        <f t="shared" si="4"/>
        <v>0</v>
      </c>
      <c r="J21" s="323"/>
      <c r="K21" s="324">
        <f t="shared" si="5"/>
        <v>0</v>
      </c>
    </row>
    <row r="22" spans="1:11" ht="40.200000000000003" customHeight="1" x14ac:dyDescent="0.25">
      <c r="A22" s="318">
        <v>11</v>
      </c>
      <c r="B22" s="319">
        <v>3</v>
      </c>
      <c r="C22" s="328" t="s">
        <v>977</v>
      </c>
      <c r="D22" s="329" t="s">
        <v>616</v>
      </c>
      <c r="E22" s="330">
        <v>1</v>
      </c>
      <c r="F22" s="260"/>
      <c r="G22" s="322">
        <f t="shared" si="3"/>
        <v>0</v>
      </c>
      <c r="H22" s="260"/>
      <c r="I22" s="322">
        <f t="shared" si="4"/>
        <v>0</v>
      </c>
      <c r="J22" s="323"/>
      <c r="K22" s="324">
        <f t="shared" si="5"/>
        <v>0</v>
      </c>
    </row>
    <row r="23" spans="1:11" ht="40.200000000000003" customHeight="1" x14ac:dyDescent="0.25">
      <c r="A23" s="318">
        <v>12</v>
      </c>
      <c r="B23" s="319">
        <v>3</v>
      </c>
      <c r="C23" s="328" t="s">
        <v>978</v>
      </c>
      <c r="D23" s="329" t="s">
        <v>616</v>
      </c>
      <c r="E23" s="330">
        <v>1</v>
      </c>
      <c r="F23" s="260"/>
      <c r="G23" s="322">
        <f t="shared" si="3"/>
        <v>0</v>
      </c>
      <c r="H23" s="260"/>
      <c r="I23" s="322">
        <f t="shared" si="4"/>
        <v>0</v>
      </c>
      <c r="J23" s="323"/>
      <c r="K23" s="324">
        <f t="shared" si="5"/>
        <v>0</v>
      </c>
    </row>
    <row r="24" spans="1:11" ht="40.200000000000003" customHeight="1" x14ac:dyDescent="0.25">
      <c r="A24" s="308" t="s">
        <v>979</v>
      </c>
      <c r="B24" s="325"/>
      <c r="C24" s="310" t="s">
        <v>980</v>
      </c>
      <c r="D24" s="311" t="s">
        <v>960</v>
      </c>
      <c r="E24" s="312" t="s">
        <v>961</v>
      </c>
      <c r="F24" s="313"/>
      <c r="G24" s="314">
        <f>SUM(G25:G27)</f>
        <v>0</v>
      </c>
      <c r="H24" s="313"/>
      <c r="I24" s="315">
        <f>SUM(I25:I27)</f>
        <v>0</v>
      </c>
      <c r="J24" s="316"/>
      <c r="K24" s="326">
        <f>SUM(K25:K27)</f>
        <v>0</v>
      </c>
    </row>
    <row r="25" spans="1:11" ht="40.200000000000003" customHeight="1" x14ac:dyDescent="0.25">
      <c r="A25" s="318">
        <v>13</v>
      </c>
      <c r="B25" s="319">
        <v>4</v>
      </c>
      <c r="C25" s="328" t="s">
        <v>981</v>
      </c>
      <c r="D25" s="329" t="s">
        <v>616</v>
      </c>
      <c r="E25" s="330">
        <v>8</v>
      </c>
      <c r="F25" s="260"/>
      <c r="G25" s="322">
        <f>F25*E25</f>
        <v>0</v>
      </c>
      <c r="H25" s="260"/>
      <c r="I25" s="322">
        <f>H25*E25</f>
        <v>0</v>
      </c>
      <c r="J25" s="323"/>
      <c r="K25" s="324">
        <f>I25+G25</f>
        <v>0</v>
      </c>
    </row>
    <row r="26" spans="1:11" ht="40.200000000000003" customHeight="1" x14ac:dyDescent="0.25">
      <c r="A26" s="318">
        <v>14</v>
      </c>
      <c r="B26" s="319">
        <v>4</v>
      </c>
      <c r="C26" s="145" t="s">
        <v>982</v>
      </c>
      <c r="D26" s="329" t="s">
        <v>616</v>
      </c>
      <c r="E26" s="330">
        <v>3</v>
      </c>
      <c r="F26" s="260"/>
      <c r="G26" s="322">
        <f t="shared" ref="G26:G27" si="6">F26*E26</f>
        <v>0</v>
      </c>
      <c r="H26" s="260"/>
      <c r="I26" s="322">
        <f t="shared" ref="I26:I27" si="7">H26*E26</f>
        <v>0</v>
      </c>
      <c r="J26" s="323"/>
      <c r="K26" s="324">
        <f t="shared" ref="K26:K27" si="8">I26+G26</f>
        <v>0</v>
      </c>
    </row>
    <row r="27" spans="1:11" ht="40.200000000000003" customHeight="1" x14ac:dyDescent="0.25">
      <c r="A27" s="318">
        <v>15</v>
      </c>
      <c r="B27" s="319">
        <v>4</v>
      </c>
      <c r="C27" s="328" t="s">
        <v>983</v>
      </c>
      <c r="D27" s="329" t="s">
        <v>616</v>
      </c>
      <c r="E27" s="330">
        <v>3</v>
      </c>
      <c r="F27" s="260"/>
      <c r="G27" s="322">
        <f t="shared" si="6"/>
        <v>0</v>
      </c>
      <c r="H27" s="260"/>
      <c r="I27" s="322">
        <f t="shared" si="7"/>
        <v>0</v>
      </c>
      <c r="J27" s="323"/>
      <c r="K27" s="324">
        <f t="shared" si="8"/>
        <v>0</v>
      </c>
    </row>
    <row r="28" spans="1:11" ht="40.200000000000003" customHeight="1" x14ac:dyDescent="0.25">
      <c r="A28" s="308" t="s">
        <v>984</v>
      </c>
      <c r="B28" s="325"/>
      <c r="C28" s="310" t="s">
        <v>985</v>
      </c>
      <c r="D28" s="311" t="s">
        <v>960</v>
      </c>
      <c r="E28" s="312" t="s">
        <v>961</v>
      </c>
      <c r="F28" s="313"/>
      <c r="G28" s="314">
        <f>SUM(G29:G32)</f>
        <v>0</v>
      </c>
      <c r="H28" s="313"/>
      <c r="I28" s="315">
        <f>SUM(I29:I32)</f>
        <v>0</v>
      </c>
      <c r="J28" s="316"/>
      <c r="K28" s="326">
        <f>SUM(K29:K32)</f>
        <v>0</v>
      </c>
    </row>
    <row r="29" spans="1:11" ht="40.200000000000003" customHeight="1" x14ac:dyDescent="0.25">
      <c r="A29" s="318">
        <v>16</v>
      </c>
      <c r="B29" s="319">
        <v>5</v>
      </c>
      <c r="C29" s="320" t="s">
        <v>986</v>
      </c>
      <c r="D29" s="321" t="s">
        <v>966</v>
      </c>
      <c r="E29" s="322">
        <v>40</v>
      </c>
      <c r="F29" s="260"/>
      <c r="G29" s="322">
        <f>F29*E29</f>
        <v>0</v>
      </c>
      <c r="H29" s="260"/>
      <c r="I29" s="322">
        <f>H29*E29</f>
        <v>0</v>
      </c>
      <c r="J29" s="323"/>
      <c r="K29" s="324">
        <f>I29+G29</f>
        <v>0</v>
      </c>
    </row>
    <row r="30" spans="1:11" ht="40.200000000000003" customHeight="1" x14ac:dyDescent="0.25">
      <c r="A30" s="318">
        <v>17</v>
      </c>
      <c r="B30" s="319">
        <v>5</v>
      </c>
      <c r="C30" s="320" t="s">
        <v>987</v>
      </c>
      <c r="D30" s="321" t="s">
        <v>966</v>
      </c>
      <c r="E30" s="322">
        <v>30</v>
      </c>
      <c r="F30" s="260"/>
      <c r="G30" s="322">
        <f t="shared" ref="G30:G32" si="9">F30*E30</f>
        <v>0</v>
      </c>
      <c r="H30" s="260"/>
      <c r="I30" s="322">
        <f t="shared" ref="I30:I32" si="10">H30*E30</f>
        <v>0</v>
      </c>
      <c r="J30" s="323"/>
      <c r="K30" s="324">
        <f t="shared" ref="K30:K32" si="11">I30+G30</f>
        <v>0</v>
      </c>
    </row>
    <row r="31" spans="1:11" ht="40.200000000000003" customHeight="1" x14ac:dyDescent="0.25">
      <c r="A31" s="318">
        <v>18</v>
      </c>
      <c r="B31" s="319">
        <v>5</v>
      </c>
      <c r="C31" s="320" t="s">
        <v>988</v>
      </c>
      <c r="D31" s="321" t="s">
        <v>616</v>
      </c>
      <c r="E31" s="322">
        <v>6</v>
      </c>
      <c r="F31" s="260"/>
      <c r="G31" s="322">
        <f t="shared" si="9"/>
        <v>0</v>
      </c>
      <c r="H31" s="260"/>
      <c r="I31" s="322">
        <f t="shared" si="10"/>
        <v>0</v>
      </c>
      <c r="J31" s="323"/>
      <c r="K31" s="324">
        <f t="shared" si="11"/>
        <v>0</v>
      </c>
    </row>
    <row r="32" spans="1:11" ht="40.200000000000003" customHeight="1" x14ac:dyDescent="0.25">
      <c r="A32" s="318">
        <v>18</v>
      </c>
      <c r="B32" s="319">
        <v>5</v>
      </c>
      <c r="C32" s="320" t="s">
        <v>989</v>
      </c>
      <c r="D32" s="321" t="s">
        <v>192</v>
      </c>
      <c r="E32" s="322">
        <v>15</v>
      </c>
      <c r="F32" s="260"/>
      <c r="G32" s="322">
        <f t="shared" si="9"/>
        <v>0</v>
      </c>
      <c r="H32" s="260"/>
      <c r="I32" s="322">
        <f t="shared" si="10"/>
        <v>0</v>
      </c>
      <c r="J32" s="323"/>
      <c r="K32" s="324">
        <f t="shared" si="11"/>
        <v>0</v>
      </c>
    </row>
    <row r="33" spans="1:11" ht="40.200000000000003" customHeight="1" x14ac:dyDescent="0.25">
      <c r="A33" s="308" t="s">
        <v>990</v>
      </c>
      <c r="B33" s="325"/>
      <c r="C33" s="310" t="s">
        <v>1102</v>
      </c>
      <c r="D33" s="311" t="s">
        <v>960</v>
      </c>
      <c r="E33" s="312" t="s">
        <v>961</v>
      </c>
      <c r="F33" s="313"/>
      <c r="G33" s="314">
        <f>SUM(G34:G36)</f>
        <v>0</v>
      </c>
      <c r="H33" s="313"/>
      <c r="I33" s="315">
        <f>SUM(I34:I36)</f>
        <v>0</v>
      </c>
      <c r="J33" s="316"/>
      <c r="K33" s="326">
        <f>SUM(K34:K36)</f>
        <v>0</v>
      </c>
    </row>
    <row r="34" spans="1:11" ht="40.200000000000003" customHeight="1" x14ac:dyDescent="0.25">
      <c r="A34" s="318">
        <v>19</v>
      </c>
      <c r="B34" s="319">
        <v>6</v>
      </c>
      <c r="C34" s="320" t="s">
        <v>1091</v>
      </c>
      <c r="D34" s="321" t="s">
        <v>616</v>
      </c>
      <c r="E34" s="322">
        <v>1</v>
      </c>
      <c r="F34" s="322"/>
      <c r="G34" s="322">
        <f>F34*E34</f>
        <v>0</v>
      </c>
      <c r="H34" s="260"/>
      <c r="I34" s="322">
        <f>H34*E34</f>
        <v>0</v>
      </c>
      <c r="J34" s="323"/>
      <c r="K34" s="324">
        <f>I34+G34</f>
        <v>0</v>
      </c>
    </row>
    <row r="35" spans="1:11" ht="40.200000000000003" customHeight="1" x14ac:dyDescent="0.25">
      <c r="A35" s="318">
        <v>20</v>
      </c>
      <c r="B35" s="319">
        <v>6</v>
      </c>
      <c r="C35" s="320" t="s">
        <v>1092</v>
      </c>
      <c r="D35" s="321" t="s">
        <v>616</v>
      </c>
      <c r="E35" s="322">
        <v>1</v>
      </c>
      <c r="F35" s="322"/>
      <c r="G35" s="322">
        <f t="shared" ref="G35:G36" si="12">F35*E35</f>
        <v>0</v>
      </c>
      <c r="H35" s="260"/>
      <c r="I35" s="322">
        <f t="shared" ref="I35:I36" si="13">H35*E35</f>
        <v>0</v>
      </c>
      <c r="J35" s="323"/>
      <c r="K35" s="324">
        <f t="shared" ref="K35:K36" si="14">I35+G35</f>
        <v>0</v>
      </c>
    </row>
    <row r="36" spans="1:11" ht="40.200000000000003" customHeight="1" x14ac:dyDescent="0.25">
      <c r="A36" s="318">
        <v>21</v>
      </c>
      <c r="B36" s="319">
        <v>6</v>
      </c>
      <c r="C36" s="320" t="s">
        <v>1093</v>
      </c>
      <c r="D36" s="321" t="s">
        <v>616</v>
      </c>
      <c r="E36" s="322">
        <v>2</v>
      </c>
      <c r="F36" s="322"/>
      <c r="G36" s="322">
        <f t="shared" si="12"/>
        <v>0</v>
      </c>
      <c r="H36" s="260"/>
      <c r="I36" s="322">
        <f t="shared" si="13"/>
        <v>0</v>
      </c>
      <c r="J36" s="323"/>
      <c r="K36" s="324">
        <f t="shared" si="14"/>
        <v>0</v>
      </c>
    </row>
    <row r="37" spans="1:11" ht="40.200000000000003" customHeight="1" x14ac:dyDescent="0.25">
      <c r="A37" s="308" t="s">
        <v>991</v>
      </c>
      <c r="B37" s="325"/>
      <c r="C37" s="310" t="s">
        <v>992</v>
      </c>
      <c r="D37" s="311" t="s">
        <v>960</v>
      </c>
      <c r="E37" s="312" t="s">
        <v>961</v>
      </c>
      <c r="F37" s="313"/>
      <c r="G37" s="314">
        <f>SUM(G38:G43)</f>
        <v>0</v>
      </c>
      <c r="H37" s="313"/>
      <c r="I37" s="315">
        <f>SUM(I38:I43)</f>
        <v>0</v>
      </c>
      <c r="J37" s="316"/>
      <c r="K37" s="326">
        <f>SUM(K38:K43)</f>
        <v>0</v>
      </c>
    </row>
    <row r="38" spans="1:11" ht="40.200000000000003" customHeight="1" x14ac:dyDescent="0.25">
      <c r="A38" s="318">
        <v>22</v>
      </c>
      <c r="B38" s="319">
        <v>7</v>
      </c>
      <c r="C38" s="320" t="s">
        <v>993</v>
      </c>
      <c r="D38" s="321" t="s">
        <v>688</v>
      </c>
      <c r="E38" s="322">
        <v>1</v>
      </c>
      <c r="F38" s="331"/>
      <c r="G38" s="322">
        <f>F38*E38</f>
        <v>0</v>
      </c>
      <c r="H38" s="322"/>
      <c r="I38" s="322">
        <f>H38*E38</f>
        <v>0</v>
      </c>
      <c r="J38" s="323"/>
      <c r="K38" s="324">
        <f>I38+G38</f>
        <v>0</v>
      </c>
    </row>
    <row r="39" spans="1:11" ht="40.200000000000003" customHeight="1" x14ac:dyDescent="0.25">
      <c r="A39" s="318">
        <v>23</v>
      </c>
      <c r="B39" s="319">
        <v>7</v>
      </c>
      <c r="C39" s="320" t="s">
        <v>994</v>
      </c>
      <c r="D39" s="321" t="s">
        <v>688</v>
      </c>
      <c r="E39" s="322">
        <v>1</v>
      </c>
      <c r="F39" s="331"/>
      <c r="G39" s="322">
        <f t="shared" ref="G39:G43" si="15">F39*E39</f>
        <v>0</v>
      </c>
      <c r="H39" s="322"/>
      <c r="I39" s="322">
        <f t="shared" ref="I39:I43" si="16">H39*E39</f>
        <v>0</v>
      </c>
      <c r="J39" s="323"/>
      <c r="K39" s="324">
        <f t="shared" ref="K39:K43" si="17">I39+G39</f>
        <v>0</v>
      </c>
    </row>
    <row r="40" spans="1:11" ht="40.200000000000003" customHeight="1" x14ac:dyDescent="0.25">
      <c r="A40" s="318">
        <v>24</v>
      </c>
      <c r="B40" s="319">
        <v>7</v>
      </c>
      <c r="C40" s="320" t="s">
        <v>995</v>
      </c>
      <c r="D40" s="321" t="s">
        <v>688</v>
      </c>
      <c r="E40" s="322">
        <v>1</v>
      </c>
      <c r="F40" s="331"/>
      <c r="G40" s="322">
        <f t="shared" si="15"/>
        <v>0</v>
      </c>
      <c r="H40" s="322"/>
      <c r="I40" s="322">
        <f t="shared" si="16"/>
        <v>0</v>
      </c>
      <c r="J40" s="323"/>
      <c r="K40" s="324">
        <f t="shared" si="17"/>
        <v>0</v>
      </c>
    </row>
    <row r="41" spans="1:11" ht="40.200000000000003" customHeight="1" x14ac:dyDescent="0.25">
      <c r="A41" s="318">
        <v>25</v>
      </c>
      <c r="B41" s="319">
        <v>7</v>
      </c>
      <c r="C41" s="320" t="s">
        <v>996</v>
      </c>
      <c r="D41" s="321" t="s">
        <v>688</v>
      </c>
      <c r="E41" s="322">
        <v>1</v>
      </c>
      <c r="F41" s="331"/>
      <c r="G41" s="322">
        <f t="shared" si="15"/>
        <v>0</v>
      </c>
      <c r="H41" s="322"/>
      <c r="I41" s="322">
        <f t="shared" si="16"/>
        <v>0</v>
      </c>
      <c r="J41" s="323"/>
      <c r="K41" s="324">
        <f t="shared" si="17"/>
        <v>0</v>
      </c>
    </row>
    <row r="42" spans="1:11" ht="40.200000000000003" customHeight="1" x14ac:dyDescent="0.25">
      <c r="A42" s="318">
        <v>26</v>
      </c>
      <c r="B42" s="319">
        <v>7</v>
      </c>
      <c r="C42" s="320" t="s">
        <v>997</v>
      </c>
      <c r="D42" s="321" t="s">
        <v>688</v>
      </c>
      <c r="E42" s="322">
        <v>1</v>
      </c>
      <c r="F42" s="331"/>
      <c r="G42" s="322">
        <f t="shared" si="15"/>
        <v>0</v>
      </c>
      <c r="H42" s="322"/>
      <c r="I42" s="322">
        <f t="shared" si="16"/>
        <v>0</v>
      </c>
      <c r="J42" s="323"/>
      <c r="K42" s="324">
        <f t="shared" si="17"/>
        <v>0</v>
      </c>
    </row>
    <row r="43" spans="1:11" ht="40.200000000000003" customHeight="1" x14ac:dyDescent="0.25">
      <c r="A43" s="318">
        <v>27</v>
      </c>
      <c r="B43" s="319">
        <v>7</v>
      </c>
      <c r="C43" s="320" t="s">
        <v>998</v>
      </c>
      <c r="D43" s="321" t="s">
        <v>688</v>
      </c>
      <c r="E43" s="322">
        <v>1</v>
      </c>
      <c r="F43" s="331"/>
      <c r="G43" s="322">
        <f t="shared" si="15"/>
        <v>0</v>
      </c>
      <c r="H43" s="322"/>
      <c r="I43" s="322">
        <f t="shared" si="16"/>
        <v>0</v>
      </c>
      <c r="J43" s="323"/>
      <c r="K43" s="324">
        <f t="shared" si="17"/>
        <v>0</v>
      </c>
    </row>
  </sheetData>
  <sheetProtection algorithmName="SHA-512" hashValue="xIHpHjyGNJMV23NpXJ6ZXA5ayzsmOIOQEXwPAB6piNJ8gphuV0rCQ1wIVRD38gdRIq0004WmKqdBN982BP9FIg==" saltValue="j4iFnR29HVY3FkviFNWSHQ==" spinCount="100000" sheet="1" objects="1" scenarios="1"/>
  <conditionalFormatting sqref="A9 A11:A16 A18:A23 A25:A27 A29:A32 A34:A36 A38:A43">
    <cfRule type="expression" dxfId="5" priority="3">
      <formula>$E9&gt;0</formula>
    </cfRule>
  </conditionalFormatting>
  <conditionalFormatting sqref="A9:B9">
    <cfRule type="containsBlanks" dxfId="4" priority="2">
      <formula>LEN(TRIM(A9))=0</formula>
    </cfRule>
  </conditionalFormatting>
  <conditionalFormatting sqref="A11:B16 A18:B23 A25:B27 A29:B32 A34:B36 A38:B43">
    <cfRule type="containsBlanks" dxfId="3" priority="1">
      <formula>LEN(TRIM(A11))=0</formula>
    </cfRule>
  </conditionalFormatting>
  <conditionalFormatting sqref="C3:C4">
    <cfRule type="cellIs" dxfId="2" priority="6" operator="equal">
      <formula>0</formula>
    </cfRule>
  </conditionalFormatting>
  <conditionalFormatting sqref="D8:D43">
    <cfRule type="containsBlanks" dxfId="1" priority="4">
      <formula>LEN(TRIM(D8))=0</formula>
    </cfRule>
  </conditionalFormatting>
  <conditionalFormatting sqref="K3">
    <cfRule type="expression" dxfId="0" priority="5">
      <formula>$K$4&lt;$K$2</formula>
    </cfRule>
  </conditionalFormatting>
  <pageMargins left="0.7" right="0.7" top="0.78740157499999996" bottom="0.78740157499999996" header="0.3" footer="0.3"/>
  <pageSetup paperSize="9" scale="83" orientation="landscape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685"/>
  <sheetViews>
    <sheetView topLeftCell="A38" zoomScaleNormal="100" workbookViewId="0">
      <selection activeCell="F72" sqref="F72"/>
    </sheetView>
  </sheetViews>
  <sheetFormatPr defaultColWidth="10" defaultRowHeight="13.2" x14ac:dyDescent="0.25"/>
  <cols>
    <col min="1" max="1" width="6.6640625" style="189" customWidth="1"/>
    <col min="2" max="2" width="12" style="189" customWidth="1"/>
    <col min="3" max="3" width="59.5546875" style="189" customWidth="1"/>
    <col min="4" max="4" width="3.88671875" style="190" customWidth="1"/>
    <col min="5" max="5" width="7.88671875" style="191" customWidth="1"/>
    <col min="6" max="6" width="12.44140625" style="192" customWidth="1"/>
    <col min="7" max="7" width="13.109375" style="191" customWidth="1"/>
    <col min="8" max="8" width="7.33203125" style="193" customWidth="1"/>
    <col min="9" max="9" width="12" style="194" customWidth="1"/>
    <col min="10" max="12" width="10" style="195"/>
    <col min="13" max="13" width="58" style="195" customWidth="1"/>
    <col min="14" max="256" width="10" style="195"/>
    <col min="257" max="257" width="6.6640625" style="195" customWidth="1"/>
    <col min="258" max="258" width="12" style="195" customWidth="1"/>
    <col min="259" max="259" width="59.5546875" style="195" customWidth="1"/>
    <col min="260" max="260" width="3.88671875" style="195" customWidth="1"/>
    <col min="261" max="261" width="7.88671875" style="195" customWidth="1"/>
    <col min="262" max="262" width="12.44140625" style="195" customWidth="1"/>
    <col min="263" max="263" width="13.109375" style="195" customWidth="1"/>
    <col min="264" max="264" width="7.33203125" style="195" customWidth="1"/>
    <col min="265" max="265" width="12" style="195" customWidth="1"/>
    <col min="266" max="268" width="10" style="195"/>
    <col min="269" max="269" width="58" style="195" customWidth="1"/>
    <col min="270" max="512" width="10" style="195"/>
    <col min="513" max="513" width="6.6640625" style="195" customWidth="1"/>
    <col min="514" max="514" width="12" style="195" customWidth="1"/>
    <col min="515" max="515" width="59.5546875" style="195" customWidth="1"/>
    <col min="516" max="516" width="3.88671875" style="195" customWidth="1"/>
    <col min="517" max="517" width="7.88671875" style="195" customWidth="1"/>
    <col min="518" max="518" width="12.44140625" style="195" customWidth="1"/>
    <col min="519" max="519" width="13.109375" style="195" customWidth="1"/>
    <col min="520" max="520" width="7.33203125" style="195" customWidth="1"/>
    <col min="521" max="521" width="12" style="195" customWidth="1"/>
    <col min="522" max="524" width="10" style="195"/>
    <col min="525" max="525" width="58" style="195" customWidth="1"/>
    <col min="526" max="768" width="10" style="195"/>
    <col min="769" max="769" width="6.6640625" style="195" customWidth="1"/>
    <col min="770" max="770" width="12" style="195" customWidth="1"/>
    <col min="771" max="771" width="59.5546875" style="195" customWidth="1"/>
    <col min="772" max="772" width="3.88671875" style="195" customWidth="1"/>
    <col min="773" max="773" width="7.88671875" style="195" customWidth="1"/>
    <col min="774" max="774" width="12.44140625" style="195" customWidth="1"/>
    <col min="775" max="775" width="13.109375" style="195" customWidth="1"/>
    <col min="776" max="776" width="7.33203125" style="195" customWidth="1"/>
    <col min="777" max="777" width="12" style="195" customWidth="1"/>
    <col min="778" max="780" width="10" style="195"/>
    <col min="781" max="781" width="58" style="195" customWidth="1"/>
    <col min="782" max="1024" width="10" style="195"/>
    <col min="1025" max="1025" width="6.6640625" style="195" customWidth="1"/>
    <col min="1026" max="1026" width="12" style="195" customWidth="1"/>
    <col min="1027" max="1027" width="59.5546875" style="195" customWidth="1"/>
    <col min="1028" max="1028" width="3.88671875" style="195" customWidth="1"/>
    <col min="1029" max="1029" width="7.88671875" style="195" customWidth="1"/>
    <col min="1030" max="1030" width="12.44140625" style="195" customWidth="1"/>
    <col min="1031" max="1031" width="13.109375" style="195" customWidth="1"/>
    <col min="1032" max="1032" width="7.33203125" style="195" customWidth="1"/>
    <col min="1033" max="1033" width="12" style="195" customWidth="1"/>
    <col min="1034" max="1036" width="10" style="195"/>
    <col min="1037" max="1037" width="58" style="195" customWidth="1"/>
    <col min="1038" max="1280" width="10" style="195"/>
    <col min="1281" max="1281" width="6.6640625" style="195" customWidth="1"/>
    <col min="1282" max="1282" width="12" style="195" customWidth="1"/>
    <col min="1283" max="1283" width="59.5546875" style="195" customWidth="1"/>
    <col min="1284" max="1284" width="3.88671875" style="195" customWidth="1"/>
    <col min="1285" max="1285" width="7.88671875" style="195" customWidth="1"/>
    <col min="1286" max="1286" width="12.44140625" style="195" customWidth="1"/>
    <col min="1287" max="1287" width="13.109375" style="195" customWidth="1"/>
    <col min="1288" max="1288" width="7.33203125" style="195" customWidth="1"/>
    <col min="1289" max="1289" width="12" style="195" customWidth="1"/>
    <col min="1290" max="1292" width="10" style="195"/>
    <col min="1293" max="1293" width="58" style="195" customWidth="1"/>
    <col min="1294" max="1536" width="10" style="195"/>
    <col min="1537" max="1537" width="6.6640625" style="195" customWidth="1"/>
    <col min="1538" max="1538" width="12" style="195" customWidth="1"/>
    <col min="1539" max="1539" width="59.5546875" style="195" customWidth="1"/>
    <col min="1540" max="1540" width="3.88671875" style="195" customWidth="1"/>
    <col min="1541" max="1541" width="7.88671875" style="195" customWidth="1"/>
    <col min="1542" max="1542" width="12.44140625" style="195" customWidth="1"/>
    <col min="1543" max="1543" width="13.109375" style="195" customWidth="1"/>
    <col min="1544" max="1544" width="7.33203125" style="195" customWidth="1"/>
    <col min="1545" max="1545" width="12" style="195" customWidth="1"/>
    <col min="1546" max="1548" width="10" style="195"/>
    <col min="1549" max="1549" width="58" style="195" customWidth="1"/>
    <col min="1550" max="1792" width="10" style="195"/>
    <col min="1793" max="1793" width="6.6640625" style="195" customWidth="1"/>
    <col min="1794" max="1794" width="12" style="195" customWidth="1"/>
    <col min="1795" max="1795" width="59.5546875" style="195" customWidth="1"/>
    <col min="1796" max="1796" width="3.88671875" style="195" customWidth="1"/>
    <col min="1797" max="1797" width="7.88671875" style="195" customWidth="1"/>
    <col min="1798" max="1798" width="12.44140625" style="195" customWidth="1"/>
    <col min="1799" max="1799" width="13.109375" style="195" customWidth="1"/>
    <col min="1800" max="1800" width="7.33203125" style="195" customWidth="1"/>
    <col min="1801" max="1801" width="12" style="195" customWidth="1"/>
    <col min="1802" max="1804" width="10" style="195"/>
    <col min="1805" max="1805" width="58" style="195" customWidth="1"/>
    <col min="1806" max="2048" width="10" style="195"/>
    <col min="2049" max="2049" width="6.6640625" style="195" customWidth="1"/>
    <col min="2050" max="2050" width="12" style="195" customWidth="1"/>
    <col min="2051" max="2051" width="59.5546875" style="195" customWidth="1"/>
    <col min="2052" max="2052" width="3.88671875" style="195" customWidth="1"/>
    <col min="2053" max="2053" width="7.88671875" style="195" customWidth="1"/>
    <col min="2054" max="2054" width="12.44140625" style="195" customWidth="1"/>
    <col min="2055" max="2055" width="13.109375" style="195" customWidth="1"/>
    <col min="2056" max="2056" width="7.33203125" style="195" customWidth="1"/>
    <col min="2057" max="2057" width="12" style="195" customWidth="1"/>
    <col min="2058" max="2060" width="10" style="195"/>
    <col min="2061" max="2061" width="58" style="195" customWidth="1"/>
    <col min="2062" max="2304" width="10" style="195"/>
    <col min="2305" max="2305" width="6.6640625" style="195" customWidth="1"/>
    <col min="2306" max="2306" width="12" style="195" customWidth="1"/>
    <col min="2307" max="2307" width="59.5546875" style="195" customWidth="1"/>
    <col min="2308" max="2308" width="3.88671875" style="195" customWidth="1"/>
    <col min="2309" max="2309" width="7.88671875" style="195" customWidth="1"/>
    <col min="2310" max="2310" width="12.44140625" style="195" customWidth="1"/>
    <col min="2311" max="2311" width="13.109375" style="195" customWidth="1"/>
    <col min="2312" max="2312" width="7.33203125" style="195" customWidth="1"/>
    <col min="2313" max="2313" width="12" style="195" customWidth="1"/>
    <col min="2314" max="2316" width="10" style="195"/>
    <col min="2317" max="2317" width="58" style="195" customWidth="1"/>
    <col min="2318" max="2560" width="10" style="195"/>
    <col min="2561" max="2561" width="6.6640625" style="195" customWidth="1"/>
    <col min="2562" max="2562" width="12" style="195" customWidth="1"/>
    <col min="2563" max="2563" width="59.5546875" style="195" customWidth="1"/>
    <col min="2564" max="2564" width="3.88671875" style="195" customWidth="1"/>
    <col min="2565" max="2565" width="7.88671875" style="195" customWidth="1"/>
    <col min="2566" max="2566" width="12.44140625" style="195" customWidth="1"/>
    <col min="2567" max="2567" width="13.109375" style="195" customWidth="1"/>
    <col min="2568" max="2568" width="7.33203125" style="195" customWidth="1"/>
    <col min="2569" max="2569" width="12" style="195" customWidth="1"/>
    <col min="2570" max="2572" width="10" style="195"/>
    <col min="2573" max="2573" width="58" style="195" customWidth="1"/>
    <col min="2574" max="2816" width="10" style="195"/>
    <col min="2817" max="2817" width="6.6640625" style="195" customWidth="1"/>
    <col min="2818" max="2818" width="12" style="195" customWidth="1"/>
    <col min="2819" max="2819" width="59.5546875" style="195" customWidth="1"/>
    <col min="2820" max="2820" width="3.88671875" style="195" customWidth="1"/>
    <col min="2821" max="2821" width="7.88671875" style="195" customWidth="1"/>
    <col min="2822" max="2822" width="12.44140625" style="195" customWidth="1"/>
    <col min="2823" max="2823" width="13.109375" style="195" customWidth="1"/>
    <col min="2824" max="2824" width="7.33203125" style="195" customWidth="1"/>
    <col min="2825" max="2825" width="12" style="195" customWidth="1"/>
    <col min="2826" max="2828" width="10" style="195"/>
    <col min="2829" max="2829" width="58" style="195" customWidth="1"/>
    <col min="2830" max="3072" width="10" style="195"/>
    <col min="3073" max="3073" width="6.6640625" style="195" customWidth="1"/>
    <col min="3074" max="3074" width="12" style="195" customWidth="1"/>
    <col min="3075" max="3075" width="59.5546875" style="195" customWidth="1"/>
    <col min="3076" max="3076" width="3.88671875" style="195" customWidth="1"/>
    <col min="3077" max="3077" width="7.88671875" style="195" customWidth="1"/>
    <col min="3078" max="3078" width="12.44140625" style="195" customWidth="1"/>
    <col min="3079" max="3079" width="13.109375" style="195" customWidth="1"/>
    <col min="3080" max="3080" width="7.33203125" style="195" customWidth="1"/>
    <col min="3081" max="3081" width="12" style="195" customWidth="1"/>
    <col min="3082" max="3084" width="10" style="195"/>
    <col min="3085" max="3085" width="58" style="195" customWidth="1"/>
    <col min="3086" max="3328" width="10" style="195"/>
    <col min="3329" max="3329" width="6.6640625" style="195" customWidth="1"/>
    <col min="3330" max="3330" width="12" style="195" customWidth="1"/>
    <col min="3331" max="3331" width="59.5546875" style="195" customWidth="1"/>
    <col min="3332" max="3332" width="3.88671875" style="195" customWidth="1"/>
    <col min="3333" max="3333" width="7.88671875" style="195" customWidth="1"/>
    <col min="3334" max="3334" width="12.44140625" style="195" customWidth="1"/>
    <col min="3335" max="3335" width="13.109375" style="195" customWidth="1"/>
    <col min="3336" max="3336" width="7.33203125" style="195" customWidth="1"/>
    <col min="3337" max="3337" width="12" style="195" customWidth="1"/>
    <col min="3338" max="3340" width="10" style="195"/>
    <col min="3341" max="3341" width="58" style="195" customWidth="1"/>
    <col min="3342" max="3584" width="10" style="195"/>
    <col min="3585" max="3585" width="6.6640625" style="195" customWidth="1"/>
    <col min="3586" max="3586" width="12" style="195" customWidth="1"/>
    <col min="3587" max="3587" width="59.5546875" style="195" customWidth="1"/>
    <col min="3588" max="3588" width="3.88671875" style="195" customWidth="1"/>
    <col min="3589" max="3589" width="7.88671875" style="195" customWidth="1"/>
    <col min="3590" max="3590" width="12.44140625" style="195" customWidth="1"/>
    <col min="3591" max="3591" width="13.109375" style="195" customWidth="1"/>
    <col min="3592" max="3592" width="7.33203125" style="195" customWidth="1"/>
    <col min="3593" max="3593" width="12" style="195" customWidth="1"/>
    <col min="3594" max="3596" width="10" style="195"/>
    <col min="3597" max="3597" width="58" style="195" customWidth="1"/>
    <col min="3598" max="3840" width="10" style="195"/>
    <col min="3841" max="3841" width="6.6640625" style="195" customWidth="1"/>
    <col min="3842" max="3842" width="12" style="195" customWidth="1"/>
    <col min="3843" max="3843" width="59.5546875" style="195" customWidth="1"/>
    <col min="3844" max="3844" width="3.88671875" style="195" customWidth="1"/>
    <col min="3845" max="3845" width="7.88671875" style="195" customWidth="1"/>
    <col min="3846" max="3846" width="12.44140625" style="195" customWidth="1"/>
    <col min="3847" max="3847" width="13.109375" style="195" customWidth="1"/>
    <col min="3848" max="3848" width="7.33203125" style="195" customWidth="1"/>
    <col min="3849" max="3849" width="12" style="195" customWidth="1"/>
    <col min="3850" max="3852" width="10" style="195"/>
    <col min="3853" max="3853" width="58" style="195" customWidth="1"/>
    <col min="3854" max="4096" width="10" style="195"/>
    <col min="4097" max="4097" width="6.6640625" style="195" customWidth="1"/>
    <col min="4098" max="4098" width="12" style="195" customWidth="1"/>
    <col min="4099" max="4099" width="59.5546875" style="195" customWidth="1"/>
    <col min="4100" max="4100" width="3.88671875" style="195" customWidth="1"/>
    <col min="4101" max="4101" width="7.88671875" style="195" customWidth="1"/>
    <col min="4102" max="4102" width="12.44140625" style="195" customWidth="1"/>
    <col min="4103" max="4103" width="13.109375" style="195" customWidth="1"/>
    <col min="4104" max="4104" width="7.33203125" style="195" customWidth="1"/>
    <col min="4105" max="4105" width="12" style="195" customWidth="1"/>
    <col min="4106" max="4108" width="10" style="195"/>
    <col min="4109" max="4109" width="58" style="195" customWidth="1"/>
    <col min="4110" max="4352" width="10" style="195"/>
    <col min="4353" max="4353" width="6.6640625" style="195" customWidth="1"/>
    <col min="4354" max="4354" width="12" style="195" customWidth="1"/>
    <col min="4355" max="4355" width="59.5546875" style="195" customWidth="1"/>
    <col min="4356" max="4356" width="3.88671875" style="195" customWidth="1"/>
    <col min="4357" max="4357" width="7.88671875" style="195" customWidth="1"/>
    <col min="4358" max="4358" width="12.44140625" style="195" customWidth="1"/>
    <col min="4359" max="4359" width="13.109375" style="195" customWidth="1"/>
    <col min="4360" max="4360" width="7.33203125" style="195" customWidth="1"/>
    <col min="4361" max="4361" width="12" style="195" customWidth="1"/>
    <col min="4362" max="4364" width="10" style="195"/>
    <col min="4365" max="4365" width="58" style="195" customWidth="1"/>
    <col min="4366" max="4608" width="10" style="195"/>
    <col min="4609" max="4609" width="6.6640625" style="195" customWidth="1"/>
    <col min="4610" max="4610" width="12" style="195" customWidth="1"/>
    <col min="4611" max="4611" width="59.5546875" style="195" customWidth="1"/>
    <col min="4612" max="4612" width="3.88671875" style="195" customWidth="1"/>
    <col min="4613" max="4613" width="7.88671875" style="195" customWidth="1"/>
    <col min="4614" max="4614" width="12.44140625" style="195" customWidth="1"/>
    <col min="4615" max="4615" width="13.109375" style="195" customWidth="1"/>
    <col min="4616" max="4616" width="7.33203125" style="195" customWidth="1"/>
    <col min="4617" max="4617" width="12" style="195" customWidth="1"/>
    <col min="4618" max="4620" width="10" style="195"/>
    <col min="4621" max="4621" width="58" style="195" customWidth="1"/>
    <col min="4622" max="4864" width="10" style="195"/>
    <col min="4865" max="4865" width="6.6640625" style="195" customWidth="1"/>
    <col min="4866" max="4866" width="12" style="195" customWidth="1"/>
    <col min="4867" max="4867" width="59.5546875" style="195" customWidth="1"/>
    <col min="4868" max="4868" width="3.88671875" style="195" customWidth="1"/>
    <col min="4869" max="4869" width="7.88671875" style="195" customWidth="1"/>
    <col min="4870" max="4870" width="12.44140625" style="195" customWidth="1"/>
    <col min="4871" max="4871" width="13.109375" style="195" customWidth="1"/>
    <col min="4872" max="4872" width="7.33203125" style="195" customWidth="1"/>
    <col min="4873" max="4873" width="12" style="195" customWidth="1"/>
    <col min="4874" max="4876" width="10" style="195"/>
    <col min="4877" max="4877" width="58" style="195" customWidth="1"/>
    <col min="4878" max="5120" width="10" style="195"/>
    <col min="5121" max="5121" width="6.6640625" style="195" customWidth="1"/>
    <col min="5122" max="5122" width="12" style="195" customWidth="1"/>
    <col min="5123" max="5123" width="59.5546875" style="195" customWidth="1"/>
    <col min="5124" max="5124" width="3.88671875" style="195" customWidth="1"/>
    <col min="5125" max="5125" width="7.88671875" style="195" customWidth="1"/>
    <col min="5126" max="5126" width="12.44140625" style="195" customWidth="1"/>
    <col min="5127" max="5127" width="13.109375" style="195" customWidth="1"/>
    <col min="5128" max="5128" width="7.33203125" style="195" customWidth="1"/>
    <col min="5129" max="5129" width="12" style="195" customWidth="1"/>
    <col min="5130" max="5132" width="10" style="195"/>
    <col min="5133" max="5133" width="58" style="195" customWidth="1"/>
    <col min="5134" max="5376" width="10" style="195"/>
    <col min="5377" max="5377" width="6.6640625" style="195" customWidth="1"/>
    <col min="5378" max="5378" width="12" style="195" customWidth="1"/>
    <col min="5379" max="5379" width="59.5546875" style="195" customWidth="1"/>
    <col min="5380" max="5380" width="3.88671875" style="195" customWidth="1"/>
    <col min="5381" max="5381" width="7.88671875" style="195" customWidth="1"/>
    <col min="5382" max="5382" width="12.44140625" style="195" customWidth="1"/>
    <col min="5383" max="5383" width="13.109375" style="195" customWidth="1"/>
    <col min="5384" max="5384" width="7.33203125" style="195" customWidth="1"/>
    <col min="5385" max="5385" width="12" style="195" customWidth="1"/>
    <col min="5386" max="5388" width="10" style="195"/>
    <col min="5389" max="5389" width="58" style="195" customWidth="1"/>
    <col min="5390" max="5632" width="10" style="195"/>
    <col min="5633" max="5633" width="6.6640625" style="195" customWidth="1"/>
    <col min="5634" max="5634" width="12" style="195" customWidth="1"/>
    <col min="5635" max="5635" width="59.5546875" style="195" customWidth="1"/>
    <col min="5636" max="5636" width="3.88671875" style="195" customWidth="1"/>
    <col min="5637" max="5637" width="7.88671875" style="195" customWidth="1"/>
    <col min="5638" max="5638" width="12.44140625" style="195" customWidth="1"/>
    <col min="5639" max="5639" width="13.109375" style="195" customWidth="1"/>
    <col min="5640" max="5640" width="7.33203125" style="195" customWidth="1"/>
    <col min="5641" max="5641" width="12" style="195" customWidth="1"/>
    <col min="5642" max="5644" width="10" style="195"/>
    <col min="5645" max="5645" width="58" style="195" customWidth="1"/>
    <col min="5646" max="5888" width="10" style="195"/>
    <col min="5889" max="5889" width="6.6640625" style="195" customWidth="1"/>
    <col min="5890" max="5890" width="12" style="195" customWidth="1"/>
    <col min="5891" max="5891" width="59.5546875" style="195" customWidth="1"/>
    <col min="5892" max="5892" width="3.88671875" style="195" customWidth="1"/>
    <col min="5893" max="5893" width="7.88671875" style="195" customWidth="1"/>
    <col min="5894" max="5894" width="12.44140625" style="195" customWidth="1"/>
    <col min="5895" max="5895" width="13.109375" style="195" customWidth="1"/>
    <col min="5896" max="5896" width="7.33203125" style="195" customWidth="1"/>
    <col min="5897" max="5897" width="12" style="195" customWidth="1"/>
    <col min="5898" max="5900" width="10" style="195"/>
    <col min="5901" max="5901" width="58" style="195" customWidth="1"/>
    <col min="5902" max="6144" width="10" style="195"/>
    <col min="6145" max="6145" width="6.6640625" style="195" customWidth="1"/>
    <col min="6146" max="6146" width="12" style="195" customWidth="1"/>
    <col min="6147" max="6147" width="59.5546875" style="195" customWidth="1"/>
    <col min="6148" max="6148" width="3.88671875" style="195" customWidth="1"/>
    <col min="6149" max="6149" width="7.88671875" style="195" customWidth="1"/>
    <col min="6150" max="6150" width="12.44140625" style="195" customWidth="1"/>
    <col min="6151" max="6151" width="13.109375" style="195" customWidth="1"/>
    <col min="6152" max="6152" width="7.33203125" style="195" customWidth="1"/>
    <col min="6153" max="6153" width="12" style="195" customWidth="1"/>
    <col min="6154" max="6156" width="10" style="195"/>
    <col min="6157" max="6157" width="58" style="195" customWidth="1"/>
    <col min="6158" max="6400" width="10" style="195"/>
    <col min="6401" max="6401" width="6.6640625" style="195" customWidth="1"/>
    <col min="6402" max="6402" width="12" style="195" customWidth="1"/>
    <col min="6403" max="6403" width="59.5546875" style="195" customWidth="1"/>
    <col min="6404" max="6404" width="3.88671875" style="195" customWidth="1"/>
    <col min="6405" max="6405" width="7.88671875" style="195" customWidth="1"/>
    <col min="6406" max="6406" width="12.44140625" style="195" customWidth="1"/>
    <col min="6407" max="6407" width="13.109375" style="195" customWidth="1"/>
    <col min="6408" max="6408" width="7.33203125" style="195" customWidth="1"/>
    <col min="6409" max="6409" width="12" style="195" customWidth="1"/>
    <col min="6410" max="6412" width="10" style="195"/>
    <col min="6413" max="6413" width="58" style="195" customWidth="1"/>
    <col min="6414" max="6656" width="10" style="195"/>
    <col min="6657" max="6657" width="6.6640625" style="195" customWidth="1"/>
    <col min="6658" max="6658" width="12" style="195" customWidth="1"/>
    <col min="6659" max="6659" width="59.5546875" style="195" customWidth="1"/>
    <col min="6660" max="6660" width="3.88671875" style="195" customWidth="1"/>
    <col min="6661" max="6661" width="7.88671875" style="195" customWidth="1"/>
    <col min="6662" max="6662" width="12.44140625" style="195" customWidth="1"/>
    <col min="6663" max="6663" width="13.109375" style="195" customWidth="1"/>
    <col min="6664" max="6664" width="7.33203125" style="195" customWidth="1"/>
    <col min="6665" max="6665" width="12" style="195" customWidth="1"/>
    <col min="6666" max="6668" width="10" style="195"/>
    <col min="6669" max="6669" width="58" style="195" customWidth="1"/>
    <col min="6670" max="6912" width="10" style="195"/>
    <col min="6913" max="6913" width="6.6640625" style="195" customWidth="1"/>
    <col min="6914" max="6914" width="12" style="195" customWidth="1"/>
    <col min="6915" max="6915" width="59.5546875" style="195" customWidth="1"/>
    <col min="6916" max="6916" width="3.88671875" style="195" customWidth="1"/>
    <col min="6917" max="6917" width="7.88671875" style="195" customWidth="1"/>
    <col min="6918" max="6918" width="12.44140625" style="195" customWidth="1"/>
    <col min="6919" max="6919" width="13.109375" style="195" customWidth="1"/>
    <col min="6920" max="6920" width="7.33203125" style="195" customWidth="1"/>
    <col min="6921" max="6921" width="12" style="195" customWidth="1"/>
    <col min="6922" max="6924" width="10" style="195"/>
    <col min="6925" max="6925" width="58" style="195" customWidth="1"/>
    <col min="6926" max="7168" width="10" style="195"/>
    <col min="7169" max="7169" width="6.6640625" style="195" customWidth="1"/>
    <col min="7170" max="7170" width="12" style="195" customWidth="1"/>
    <col min="7171" max="7171" width="59.5546875" style="195" customWidth="1"/>
    <col min="7172" max="7172" width="3.88671875" style="195" customWidth="1"/>
    <col min="7173" max="7173" width="7.88671875" style="195" customWidth="1"/>
    <col min="7174" max="7174" width="12.44140625" style="195" customWidth="1"/>
    <col min="7175" max="7175" width="13.109375" style="195" customWidth="1"/>
    <col min="7176" max="7176" width="7.33203125" style="195" customWidth="1"/>
    <col min="7177" max="7177" width="12" style="195" customWidth="1"/>
    <col min="7178" max="7180" width="10" style="195"/>
    <col min="7181" max="7181" width="58" style="195" customWidth="1"/>
    <col min="7182" max="7424" width="10" style="195"/>
    <col min="7425" max="7425" width="6.6640625" style="195" customWidth="1"/>
    <col min="7426" max="7426" width="12" style="195" customWidth="1"/>
    <col min="7427" max="7427" width="59.5546875" style="195" customWidth="1"/>
    <col min="7428" max="7428" width="3.88671875" style="195" customWidth="1"/>
    <col min="7429" max="7429" width="7.88671875" style="195" customWidth="1"/>
    <col min="7430" max="7430" width="12.44140625" style="195" customWidth="1"/>
    <col min="7431" max="7431" width="13.109375" style="195" customWidth="1"/>
    <col min="7432" max="7432" width="7.33203125" style="195" customWidth="1"/>
    <col min="7433" max="7433" width="12" style="195" customWidth="1"/>
    <col min="7434" max="7436" width="10" style="195"/>
    <col min="7437" max="7437" width="58" style="195" customWidth="1"/>
    <col min="7438" max="7680" width="10" style="195"/>
    <col min="7681" max="7681" width="6.6640625" style="195" customWidth="1"/>
    <col min="7682" max="7682" width="12" style="195" customWidth="1"/>
    <col min="7683" max="7683" width="59.5546875" style="195" customWidth="1"/>
    <col min="7684" max="7684" width="3.88671875" style="195" customWidth="1"/>
    <col min="7685" max="7685" width="7.88671875" style="195" customWidth="1"/>
    <col min="7686" max="7686" width="12.44140625" style="195" customWidth="1"/>
    <col min="7687" max="7687" width="13.109375" style="195" customWidth="1"/>
    <col min="7688" max="7688" width="7.33203125" style="195" customWidth="1"/>
    <col min="7689" max="7689" width="12" style="195" customWidth="1"/>
    <col min="7690" max="7692" width="10" style="195"/>
    <col min="7693" max="7693" width="58" style="195" customWidth="1"/>
    <col min="7694" max="7936" width="10" style="195"/>
    <col min="7937" max="7937" width="6.6640625" style="195" customWidth="1"/>
    <col min="7938" max="7938" width="12" style="195" customWidth="1"/>
    <col min="7939" max="7939" width="59.5546875" style="195" customWidth="1"/>
    <col min="7940" max="7940" width="3.88671875" style="195" customWidth="1"/>
    <col min="7941" max="7941" width="7.88671875" style="195" customWidth="1"/>
    <col min="7942" max="7942" width="12.44140625" style="195" customWidth="1"/>
    <col min="7943" max="7943" width="13.109375" style="195" customWidth="1"/>
    <col min="7944" max="7944" width="7.33203125" style="195" customWidth="1"/>
    <col min="7945" max="7945" width="12" style="195" customWidth="1"/>
    <col min="7946" max="7948" width="10" style="195"/>
    <col min="7949" max="7949" width="58" style="195" customWidth="1"/>
    <col min="7950" max="8192" width="10" style="195"/>
    <col min="8193" max="8193" width="6.6640625" style="195" customWidth="1"/>
    <col min="8194" max="8194" width="12" style="195" customWidth="1"/>
    <col min="8195" max="8195" width="59.5546875" style="195" customWidth="1"/>
    <col min="8196" max="8196" width="3.88671875" style="195" customWidth="1"/>
    <col min="8197" max="8197" width="7.88671875" style="195" customWidth="1"/>
    <col min="8198" max="8198" width="12.44140625" style="195" customWidth="1"/>
    <col min="8199" max="8199" width="13.109375" style="195" customWidth="1"/>
    <col min="8200" max="8200" width="7.33203125" style="195" customWidth="1"/>
    <col min="8201" max="8201" width="12" style="195" customWidth="1"/>
    <col min="8202" max="8204" width="10" style="195"/>
    <col min="8205" max="8205" width="58" style="195" customWidth="1"/>
    <col min="8206" max="8448" width="10" style="195"/>
    <col min="8449" max="8449" width="6.6640625" style="195" customWidth="1"/>
    <col min="8450" max="8450" width="12" style="195" customWidth="1"/>
    <col min="8451" max="8451" width="59.5546875" style="195" customWidth="1"/>
    <col min="8452" max="8452" width="3.88671875" style="195" customWidth="1"/>
    <col min="8453" max="8453" width="7.88671875" style="195" customWidth="1"/>
    <col min="8454" max="8454" width="12.44140625" style="195" customWidth="1"/>
    <col min="8455" max="8455" width="13.109375" style="195" customWidth="1"/>
    <col min="8456" max="8456" width="7.33203125" style="195" customWidth="1"/>
    <col min="8457" max="8457" width="12" style="195" customWidth="1"/>
    <col min="8458" max="8460" width="10" style="195"/>
    <col min="8461" max="8461" width="58" style="195" customWidth="1"/>
    <col min="8462" max="8704" width="10" style="195"/>
    <col min="8705" max="8705" width="6.6640625" style="195" customWidth="1"/>
    <col min="8706" max="8706" width="12" style="195" customWidth="1"/>
    <col min="8707" max="8707" width="59.5546875" style="195" customWidth="1"/>
    <col min="8708" max="8708" width="3.88671875" style="195" customWidth="1"/>
    <col min="8709" max="8709" width="7.88671875" style="195" customWidth="1"/>
    <col min="8710" max="8710" width="12.44140625" style="195" customWidth="1"/>
    <col min="8711" max="8711" width="13.109375" style="195" customWidth="1"/>
    <col min="8712" max="8712" width="7.33203125" style="195" customWidth="1"/>
    <col min="8713" max="8713" width="12" style="195" customWidth="1"/>
    <col min="8714" max="8716" width="10" style="195"/>
    <col min="8717" max="8717" width="58" style="195" customWidth="1"/>
    <col min="8718" max="8960" width="10" style="195"/>
    <col min="8961" max="8961" width="6.6640625" style="195" customWidth="1"/>
    <col min="8962" max="8962" width="12" style="195" customWidth="1"/>
    <col min="8963" max="8963" width="59.5546875" style="195" customWidth="1"/>
    <col min="8964" max="8964" width="3.88671875" style="195" customWidth="1"/>
    <col min="8965" max="8965" width="7.88671875" style="195" customWidth="1"/>
    <col min="8966" max="8966" width="12.44140625" style="195" customWidth="1"/>
    <col min="8967" max="8967" width="13.109375" style="195" customWidth="1"/>
    <col min="8968" max="8968" width="7.33203125" style="195" customWidth="1"/>
    <col min="8969" max="8969" width="12" style="195" customWidth="1"/>
    <col min="8970" max="8972" width="10" style="195"/>
    <col min="8973" max="8973" width="58" style="195" customWidth="1"/>
    <col min="8974" max="9216" width="10" style="195"/>
    <col min="9217" max="9217" width="6.6640625" style="195" customWidth="1"/>
    <col min="9218" max="9218" width="12" style="195" customWidth="1"/>
    <col min="9219" max="9219" width="59.5546875" style="195" customWidth="1"/>
    <col min="9220" max="9220" width="3.88671875" style="195" customWidth="1"/>
    <col min="9221" max="9221" width="7.88671875" style="195" customWidth="1"/>
    <col min="9222" max="9222" width="12.44140625" style="195" customWidth="1"/>
    <col min="9223" max="9223" width="13.109375" style="195" customWidth="1"/>
    <col min="9224" max="9224" width="7.33203125" style="195" customWidth="1"/>
    <col min="9225" max="9225" width="12" style="195" customWidth="1"/>
    <col min="9226" max="9228" width="10" style="195"/>
    <col min="9229" max="9229" width="58" style="195" customWidth="1"/>
    <col min="9230" max="9472" width="10" style="195"/>
    <col min="9473" max="9473" width="6.6640625" style="195" customWidth="1"/>
    <col min="9474" max="9474" width="12" style="195" customWidth="1"/>
    <col min="9475" max="9475" width="59.5546875" style="195" customWidth="1"/>
    <col min="9476" max="9476" width="3.88671875" style="195" customWidth="1"/>
    <col min="9477" max="9477" width="7.88671875" style="195" customWidth="1"/>
    <col min="9478" max="9478" width="12.44140625" style="195" customWidth="1"/>
    <col min="9479" max="9479" width="13.109375" style="195" customWidth="1"/>
    <col min="9480" max="9480" width="7.33203125" style="195" customWidth="1"/>
    <col min="9481" max="9481" width="12" style="195" customWidth="1"/>
    <col min="9482" max="9484" width="10" style="195"/>
    <col min="9485" max="9485" width="58" style="195" customWidth="1"/>
    <col min="9486" max="9728" width="10" style="195"/>
    <col min="9729" max="9729" width="6.6640625" style="195" customWidth="1"/>
    <col min="9730" max="9730" width="12" style="195" customWidth="1"/>
    <col min="9731" max="9731" width="59.5546875" style="195" customWidth="1"/>
    <col min="9732" max="9732" width="3.88671875" style="195" customWidth="1"/>
    <col min="9733" max="9733" width="7.88671875" style="195" customWidth="1"/>
    <col min="9734" max="9734" width="12.44140625" style="195" customWidth="1"/>
    <col min="9735" max="9735" width="13.109375" style="195" customWidth="1"/>
    <col min="9736" max="9736" width="7.33203125" style="195" customWidth="1"/>
    <col min="9737" max="9737" width="12" style="195" customWidth="1"/>
    <col min="9738" max="9740" width="10" style="195"/>
    <col min="9741" max="9741" width="58" style="195" customWidth="1"/>
    <col min="9742" max="9984" width="10" style="195"/>
    <col min="9985" max="9985" width="6.6640625" style="195" customWidth="1"/>
    <col min="9986" max="9986" width="12" style="195" customWidth="1"/>
    <col min="9987" max="9987" width="59.5546875" style="195" customWidth="1"/>
    <col min="9988" max="9988" width="3.88671875" style="195" customWidth="1"/>
    <col min="9989" max="9989" width="7.88671875" style="195" customWidth="1"/>
    <col min="9990" max="9990" width="12.44140625" style="195" customWidth="1"/>
    <col min="9991" max="9991" width="13.109375" style="195" customWidth="1"/>
    <col min="9992" max="9992" width="7.33203125" style="195" customWidth="1"/>
    <col min="9993" max="9993" width="12" style="195" customWidth="1"/>
    <col min="9994" max="9996" width="10" style="195"/>
    <col min="9997" max="9997" width="58" style="195" customWidth="1"/>
    <col min="9998" max="10240" width="10" style="195"/>
    <col min="10241" max="10241" width="6.6640625" style="195" customWidth="1"/>
    <col min="10242" max="10242" width="12" style="195" customWidth="1"/>
    <col min="10243" max="10243" width="59.5546875" style="195" customWidth="1"/>
    <col min="10244" max="10244" width="3.88671875" style="195" customWidth="1"/>
    <col min="10245" max="10245" width="7.88671875" style="195" customWidth="1"/>
    <col min="10246" max="10246" width="12.44140625" style="195" customWidth="1"/>
    <col min="10247" max="10247" width="13.109375" style="195" customWidth="1"/>
    <col min="10248" max="10248" width="7.33203125" style="195" customWidth="1"/>
    <col min="10249" max="10249" width="12" style="195" customWidth="1"/>
    <col min="10250" max="10252" width="10" style="195"/>
    <col min="10253" max="10253" width="58" style="195" customWidth="1"/>
    <col min="10254" max="10496" width="10" style="195"/>
    <col min="10497" max="10497" width="6.6640625" style="195" customWidth="1"/>
    <col min="10498" max="10498" width="12" style="195" customWidth="1"/>
    <col min="10499" max="10499" width="59.5546875" style="195" customWidth="1"/>
    <col min="10500" max="10500" width="3.88671875" style="195" customWidth="1"/>
    <col min="10501" max="10501" width="7.88671875" style="195" customWidth="1"/>
    <col min="10502" max="10502" width="12.44140625" style="195" customWidth="1"/>
    <col min="10503" max="10503" width="13.109375" style="195" customWidth="1"/>
    <col min="10504" max="10504" width="7.33203125" style="195" customWidth="1"/>
    <col min="10505" max="10505" width="12" style="195" customWidth="1"/>
    <col min="10506" max="10508" width="10" style="195"/>
    <col min="10509" max="10509" width="58" style="195" customWidth="1"/>
    <col min="10510" max="10752" width="10" style="195"/>
    <col min="10753" max="10753" width="6.6640625" style="195" customWidth="1"/>
    <col min="10754" max="10754" width="12" style="195" customWidth="1"/>
    <col min="10755" max="10755" width="59.5546875" style="195" customWidth="1"/>
    <col min="10756" max="10756" width="3.88671875" style="195" customWidth="1"/>
    <col min="10757" max="10757" width="7.88671875" style="195" customWidth="1"/>
    <col min="10758" max="10758" width="12.44140625" style="195" customWidth="1"/>
    <col min="10759" max="10759" width="13.109375" style="195" customWidth="1"/>
    <col min="10760" max="10760" width="7.33203125" style="195" customWidth="1"/>
    <col min="10761" max="10761" width="12" style="195" customWidth="1"/>
    <col min="10762" max="10764" width="10" style="195"/>
    <col min="10765" max="10765" width="58" style="195" customWidth="1"/>
    <col min="10766" max="11008" width="10" style="195"/>
    <col min="11009" max="11009" width="6.6640625" style="195" customWidth="1"/>
    <col min="11010" max="11010" width="12" style="195" customWidth="1"/>
    <col min="11011" max="11011" width="59.5546875" style="195" customWidth="1"/>
    <col min="11012" max="11012" width="3.88671875" style="195" customWidth="1"/>
    <col min="11013" max="11013" width="7.88671875" style="195" customWidth="1"/>
    <col min="11014" max="11014" width="12.44140625" style="195" customWidth="1"/>
    <col min="11015" max="11015" width="13.109375" style="195" customWidth="1"/>
    <col min="11016" max="11016" width="7.33203125" style="195" customWidth="1"/>
    <col min="11017" max="11017" width="12" style="195" customWidth="1"/>
    <col min="11018" max="11020" width="10" style="195"/>
    <col min="11021" max="11021" width="58" style="195" customWidth="1"/>
    <col min="11022" max="11264" width="10" style="195"/>
    <col min="11265" max="11265" width="6.6640625" style="195" customWidth="1"/>
    <col min="11266" max="11266" width="12" style="195" customWidth="1"/>
    <col min="11267" max="11267" width="59.5546875" style="195" customWidth="1"/>
    <col min="11268" max="11268" width="3.88671875" style="195" customWidth="1"/>
    <col min="11269" max="11269" width="7.88671875" style="195" customWidth="1"/>
    <col min="11270" max="11270" width="12.44140625" style="195" customWidth="1"/>
    <col min="11271" max="11271" width="13.109375" style="195" customWidth="1"/>
    <col min="11272" max="11272" width="7.33203125" style="195" customWidth="1"/>
    <col min="11273" max="11273" width="12" style="195" customWidth="1"/>
    <col min="11274" max="11276" width="10" style="195"/>
    <col min="11277" max="11277" width="58" style="195" customWidth="1"/>
    <col min="11278" max="11520" width="10" style="195"/>
    <col min="11521" max="11521" width="6.6640625" style="195" customWidth="1"/>
    <col min="11522" max="11522" width="12" style="195" customWidth="1"/>
    <col min="11523" max="11523" width="59.5546875" style="195" customWidth="1"/>
    <col min="11524" max="11524" width="3.88671875" style="195" customWidth="1"/>
    <col min="11525" max="11525" width="7.88671875" style="195" customWidth="1"/>
    <col min="11526" max="11526" width="12.44140625" style="195" customWidth="1"/>
    <col min="11527" max="11527" width="13.109375" style="195" customWidth="1"/>
    <col min="11528" max="11528" width="7.33203125" style="195" customWidth="1"/>
    <col min="11529" max="11529" width="12" style="195" customWidth="1"/>
    <col min="11530" max="11532" width="10" style="195"/>
    <col min="11533" max="11533" width="58" style="195" customWidth="1"/>
    <col min="11534" max="11776" width="10" style="195"/>
    <col min="11777" max="11777" width="6.6640625" style="195" customWidth="1"/>
    <col min="11778" max="11778" width="12" style="195" customWidth="1"/>
    <col min="11779" max="11779" width="59.5546875" style="195" customWidth="1"/>
    <col min="11780" max="11780" width="3.88671875" style="195" customWidth="1"/>
    <col min="11781" max="11781" width="7.88671875" style="195" customWidth="1"/>
    <col min="11782" max="11782" width="12.44140625" style="195" customWidth="1"/>
    <col min="11783" max="11783" width="13.109375" style="195" customWidth="1"/>
    <col min="11784" max="11784" width="7.33203125" style="195" customWidth="1"/>
    <col min="11785" max="11785" width="12" style="195" customWidth="1"/>
    <col min="11786" max="11788" width="10" style="195"/>
    <col min="11789" max="11789" width="58" style="195" customWidth="1"/>
    <col min="11790" max="12032" width="10" style="195"/>
    <col min="12033" max="12033" width="6.6640625" style="195" customWidth="1"/>
    <col min="12034" max="12034" width="12" style="195" customWidth="1"/>
    <col min="12035" max="12035" width="59.5546875" style="195" customWidth="1"/>
    <col min="12036" max="12036" width="3.88671875" style="195" customWidth="1"/>
    <col min="12037" max="12037" width="7.88671875" style="195" customWidth="1"/>
    <col min="12038" max="12038" width="12.44140625" style="195" customWidth="1"/>
    <col min="12039" max="12039" width="13.109375" style="195" customWidth="1"/>
    <col min="12040" max="12040" width="7.33203125" style="195" customWidth="1"/>
    <col min="12041" max="12041" width="12" style="195" customWidth="1"/>
    <col min="12042" max="12044" width="10" style="195"/>
    <col min="12045" max="12045" width="58" style="195" customWidth="1"/>
    <col min="12046" max="12288" width="10" style="195"/>
    <col min="12289" max="12289" width="6.6640625" style="195" customWidth="1"/>
    <col min="12290" max="12290" width="12" style="195" customWidth="1"/>
    <col min="12291" max="12291" width="59.5546875" style="195" customWidth="1"/>
    <col min="12292" max="12292" width="3.88671875" style="195" customWidth="1"/>
    <col min="12293" max="12293" width="7.88671875" style="195" customWidth="1"/>
    <col min="12294" max="12294" width="12.44140625" style="195" customWidth="1"/>
    <col min="12295" max="12295" width="13.109375" style="195" customWidth="1"/>
    <col min="12296" max="12296" width="7.33203125" style="195" customWidth="1"/>
    <col min="12297" max="12297" width="12" style="195" customWidth="1"/>
    <col min="12298" max="12300" width="10" style="195"/>
    <col min="12301" max="12301" width="58" style="195" customWidth="1"/>
    <col min="12302" max="12544" width="10" style="195"/>
    <col min="12545" max="12545" width="6.6640625" style="195" customWidth="1"/>
    <col min="12546" max="12546" width="12" style="195" customWidth="1"/>
    <col min="12547" max="12547" width="59.5546875" style="195" customWidth="1"/>
    <col min="12548" max="12548" width="3.88671875" style="195" customWidth="1"/>
    <col min="12549" max="12549" width="7.88671875" style="195" customWidth="1"/>
    <col min="12550" max="12550" width="12.44140625" style="195" customWidth="1"/>
    <col min="12551" max="12551" width="13.109375" style="195" customWidth="1"/>
    <col min="12552" max="12552" width="7.33203125" style="195" customWidth="1"/>
    <col min="12553" max="12553" width="12" style="195" customWidth="1"/>
    <col min="12554" max="12556" width="10" style="195"/>
    <col min="12557" max="12557" width="58" style="195" customWidth="1"/>
    <col min="12558" max="12800" width="10" style="195"/>
    <col min="12801" max="12801" width="6.6640625" style="195" customWidth="1"/>
    <col min="12802" max="12802" width="12" style="195" customWidth="1"/>
    <col min="12803" max="12803" width="59.5546875" style="195" customWidth="1"/>
    <col min="12804" max="12804" width="3.88671875" style="195" customWidth="1"/>
    <col min="12805" max="12805" width="7.88671875" style="195" customWidth="1"/>
    <col min="12806" max="12806" width="12.44140625" style="195" customWidth="1"/>
    <col min="12807" max="12807" width="13.109375" style="195" customWidth="1"/>
    <col min="12808" max="12808" width="7.33203125" style="195" customWidth="1"/>
    <col min="12809" max="12809" width="12" style="195" customWidth="1"/>
    <col min="12810" max="12812" width="10" style="195"/>
    <col min="12813" max="12813" width="58" style="195" customWidth="1"/>
    <col min="12814" max="13056" width="10" style="195"/>
    <col min="13057" max="13057" width="6.6640625" style="195" customWidth="1"/>
    <col min="13058" max="13058" width="12" style="195" customWidth="1"/>
    <col min="13059" max="13059" width="59.5546875" style="195" customWidth="1"/>
    <col min="13060" max="13060" width="3.88671875" style="195" customWidth="1"/>
    <col min="13061" max="13061" width="7.88671875" style="195" customWidth="1"/>
    <col min="13062" max="13062" width="12.44140625" style="195" customWidth="1"/>
    <col min="13063" max="13063" width="13.109375" style="195" customWidth="1"/>
    <col min="13064" max="13064" width="7.33203125" style="195" customWidth="1"/>
    <col min="13065" max="13065" width="12" style="195" customWidth="1"/>
    <col min="13066" max="13068" width="10" style="195"/>
    <col min="13069" max="13069" width="58" style="195" customWidth="1"/>
    <col min="13070" max="13312" width="10" style="195"/>
    <col min="13313" max="13313" width="6.6640625" style="195" customWidth="1"/>
    <col min="13314" max="13314" width="12" style="195" customWidth="1"/>
    <col min="13315" max="13315" width="59.5546875" style="195" customWidth="1"/>
    <col min="13316" max="13316" width="3.88671875" style="195" customWidth="1"/>
    <col min="13317" max="13317" width="7.88671875" style="195" customWidth="1"/>
    <col min="13318" max="13318" width="12.44140625" style="195" customWidth="1"/>
    <col min="13319" max="13319" width="13.109375" style="195" customWidth="1"/>
    <col min="13320" max="13320" width="7.33203125" style="195" customWidth="1"/>
    <col min="13321" max="13321" width="12" style="195" customWidth="1"/>
    <col min="13322" max="13324" width="10" style="195"/>
    <col min="13325" max="13325" width="58" style="195" customWidth="1"/>
    <col min="13326" max="13568" width="10" style="195"/>
    <col min="13569" max="13569" width="6.6640625" style="195" customWidth="1"/>
    <col min="13570" max="13570" width="12" style="195" customWidth="1"/>
    <col min="13571" max="13571" width="59.5546875" style="195" customWidth="1"/>
    <col min="13572" max="13572" width="3.88671875" style="195" customWidth="1"/>
    <col min="13573" max="13573" width="7.88671875" style="195" customWidth="1"/>
    <col min="13574" max="13574" width="12.44140625" style="195" customWidth="1"/>
    <col min="13575" max="13575" width="13.109375" style="195" customWidth="1"/>
    <col min="13576" max="13576" width="7.33203125" style="195" customWidth="1"/>
    <col min="13577" max="13577" width="12" style="195" customWidth="1"/>
    <col min="13578" max="13580" width="10" style="195"/>
    <col min="13581" max="13581" width="58" style="195" customWidth="1"/>
    <col min="13582" max="13824" width="10" style="195"/>
    <col min="13825" max="13825" width="6.6640625" style="195" customWidth="1"/>
    <col min="13826" max="13826" width="12" style="195" customWidth="1"/>
    <col min="13827" max="13827" width="59.5546875" style="195" customWidth="1"/>
    <col min="13828" max="13828" width="3.88671875" style="195" customWidth="1"/>
    <col min="13829" max="13829" width="7.88671875" style="195" customWidth="1"/>
    <col min="13830" max="13830" width="12.44140625" style="195" customWidth="1"/>
    <col min="13831" max="13831" width="13.109375" style="195" customWidth="1"/>
    <col min="13832" max="13832" width="7.33203125" style="195" customWidth="1"/>
    <col min="13833" max="13833" width="12" style="195" customWidth="1"/>
    <col min="13834" max="13836" width="10" style="195"/>
    <col min="13837" max="13837" width="58" style="195" customWidth="1"/>
    <col min="13838" max="14080" width="10" style="195"/>
    <col min="14081" max="14081" width="6.6640625" style="195" customWidth="1"/>
    <col min="14082" max="14082" width="12" style="195" customWidth="1"/>
    <col min="14083" max="14083" width="59.5546875" style="195" customWidth="1"/>
    <col min="14084" max="14084" width="3.88671875" style="195" customWidth="1"/>
    <col min="14085" max="14085" width="7.88671875" style="195" customWidth="1"/>
    <col min="14086" max="14086" width="12.44140625" style="195" customWidth="1"/>
    <col min="14087" max="14087" width="13.109375" style="195" customWidth="1"/>
    <col min="14088" max="14088" width="7.33203125" style="195" customWidth="1"/>
    <col min="14089" max="14089" width="12" style="195" customWidth="1"/>
    <col min="14090" max="14092" width="10" style="195"/>
    <col min="14093" max="14093" width="58" style="195" customWidth="1"/>
    <col min="14094" max="14336" width="10" style="195"/>
    <col min="14337" max="14337" width="6.6640625" style="195" customWidth="1"/>
    <col min="14338" max="14338" width="12" style="195" customWidth="1"/>
    <col min="14339" max="14339" width="59.5546875" style="195" customWidth="1"/>
    <col min="14340" max="14340" width="3.88671875" style="195" customWidth="1"/>
    <col min="14341" max="14341" width="7.88671875" style="195" customWidth="1"/>
    <col min="14342" max="14342" width="12.44140625" style="195" customWidth="1"/>
    <col min="14343" max="14343" width="13.109375" style="195" customWidth="1"/>
    <col min="14344" max="14344" width="7.33203125" style="195" customWidth="1"/>
    <col min="14345" max="14345" width="12" style="195" customWidth="1"/>
    <col min="14346" max="14348" width="10" style="195"/>
    <col min="14349" max="14349" width="58" style="195" customWidth="1"/>
    <col min="14350" max="14592" width="10" style="195"/>
    <col min="14593" max="14593" width="6.6640625" style="195" customWidth="1"/>
    <col min="14594" max="14594" width="12" style="195" customWidth="1"/>
    <col min="14595" max="14595" width="59.5546875" style="195" customWidth="1"/>
    <col min="14596" max="14596" width="3.88671875" style="195" customWidth="1"/>
    <col min="14597" max="14597" width="7.88671875" style="195" customWidth="1"/>
    <col min="14598" max="14598" width="12.44140625" style="195" customWidth="1"/>
    <col min="14599" max="14599" width="13.109375" style="195" customWidth="1"/>
    <col min="14600" max="14600" width="7.33203125" style="195" customWidth="1"/>
    <col min="14601" max="14601" width="12" style="195" customWidth="1"/>
    <col min="14602" max="14604" width="10" style="195"/>
    <col min="14605" max="14605" width="58" style="195" customWidth="1"/>
    <col min="14606" max="14848" width="10" style="195"/>
    <col min="14849" max="14849" width="6.6640625" style="195" customWidth="1"/>
    <col min="14850" max="14850" width="12" style="195" customWidth="1"/>
    <col min="14851" max="14851" width="59.5546875" style="195" customWidth="1"/>
    <col min="14852" max="14852" width="3.88671875" style="195" customWidth="1"/>
    <col min="14853" max="14853" width="7.88671875" style="195" customWidth="1"/>
    <col min="14854" max="14854" width="12.44140625" style="195" customWidth="1"/>
    <col min="14855" max="14855" width="13.109375" style="195" customWidth="1"/>
    <col min="14856" max="14856" width="7.33203125" style="195" customWidth="1"/>
    <col min="14857" max="14857" width="12" style="195" customWidth="1"/>
    <col min="14858" max="14860" width="10" style="195"/>
    <col min="14861" max="14861" width="58" style="195" customWidth="1"/>
    <col min="14862" max="15104" width="10" style="195"/>
    <col min="15105" max="15105" width="6.6640625" style="195" customWidth="1"/>
    <col min="15106" max="15106" width="12" style="195" customWidth="1"/>
    <col min="15107" max="15107" width="59.5546875" style="195" customWidth="1"/>
    <col min="15108" max="15108" width="3.88671875" style="195" customWidth="1"/>
    <col min="15109" max="15109" width="7.88671875" style="195" customWidth="1"/>
    <col min="15110" max="15110" width="12.44140625" style="195" customWidth="1"/>
    <col min="15111" max="15111" width="13.109375" style="195" customWidth="1"/>
    <col min="15112" max="15112" width="7.33203125" style="195" customWidth="1"/>
    <col min="15113" max="15113" width="12" style="195" customWidth="1"/>
    <col min="15114" max="15116" width="10" style="195"/>
    <col min="15117" max="15117" width="58" style="195" customWidth="1"/>
    <col min="15118" max="15360" width="10" style="195"/>
    <col min="15361" max="15361" width="6.6640625" style="195" customWidth="1"/>
    <col min="15362" max="15362" width="12" style="195" customWidth="1"/>
    <col min="15363" max="15363" width="59.5546875" style="195" customWidth="1"/>
    <col min="15364" max="15364" width="3.88671875" style="195" customWidth="1"/>
    <col min="15365" max="15365" width="7.88671875" style="195" customWidth="1"/>
    <col min="15366" max="15366" width="12.44140625" style="195" customWidth="1"/>
    <col min="15367" max="15367" width="13.109375" style="195" customWidth="1"/>
    <col min="15368" max="15368" width="7.33203125" style="195" customWidth="1"/>
    <col min="15369" max="15369" width="12" style="195" customWidth="1"/>
    <col min="15370" max="15372" width="10" style="195"/>
    <col min="15373" max="15373" width="58" style="195" customWidth="1"/>
    <col min="15374" max="15616" width="10" style="195"/>
    <col min="15617" max="15617" width="6.6640625" style="195" customWidth="1"/>
    <col min="15618" max="15618" width="12" style="195" customWidth="1"/>
    <col min="15619" max="15619" width="59.5546875" style="195" customWidth="1"/>
    <col min="15620" max="15620" width="3.88671875" style="195" customWidth="1"/>
    <col min="15621" max="15621" width="7.88671875" style="195" customWidth="1"/>
    <col min="15622" max="15622" width="12.44140625" style="195" customWidth="1"/>
    <col min="15623" max="15623" width="13.109375" style="195" customWidth="1"/>
    <col min="15624" max="15624" width="7.33203125" style="195" customWidth="1"/>
    <col min="15625" max="15625" width="12" style="195" customWidth="1"/>
    <col min="15626" max="15628" width="10" style="195"/>
    <col min="15629" max="15629" width="58" style="195" customWidth="1"/>
    <col min="15630" max="15872" width="10" style="195"/>
    <col min="15873" max="15873" width="6.6640625" style="195" customWidth="1"/>
    <col min="15874" max="15874" width="12" style="195" customWidth="1"/>
    <col min="15875" max="15875" width="59.5546875" style="195" customWidth="1"/>
    <col min="15876" max="15876" width="3.88671875" style="195" customWidth="1"/>
    <col min="15877" max="15877" width="7.88671875" style="195" customWidth="1"/>
    <col min="15878" max="15878" width="12.44140625" style="195" customWidth="1"/>
    <col min="15879" max="15879" width="13.109375" style="195" customWidth="1"/>
    <col min="15880" max="15880" width="7.33203125" style="195" customWidth="1"/>
    <col min="15881" max="15881" width="12" style="195" customWidth="1"/>
    <col min="15882" max="15884" width="10" style="195"/>
    <col min="15885" max="15885" width="58" style="195" customWidth="1"/>
    <col min="15886" max="16128" width="10" style="195"/>
    <col min="16129" max="16129" width="6.6640625" style="195" customWidth="1"/>
    <col min="16130" max="16130" width="12" style="195" customWidth="1"/>
    <col min="16131" max="16131" width="59.5546875" style="195" customWidth="1"/>
    <col min="16132" max="16132" width="3.88671875" style="195" customWidth="1"/>
    <col min="16133" max="16133" width="7.88671875" style="195" customWidth="1"/>
    <col min="16134" max="16134" width="12.44140625" style="195" customWidth="1"/>
    <col min="16135" max="16135" width="13.109375" style="195" customWidth="1"/>
    <col min="16136" max="16136" width="7.33203125" style="195" customWidth="1"/>
    <col min="16137" max="16137" width="12" style="195" customWidth="1"/>
    <col min="16138" max="16140" width="10" style="195"/>
    <col min="16141" max="16141" width="58" style="195" customWidth="1"/>
    <col min="16142" max="16384" width="10" style="195"/>
  </cols>
  <sheetData>
    <row r="1" spans="1:9" hidden="1" x14ac:dyDescent="0.25">
      <c r="A1" s="332"/>
      <c r="B1" s="332"/>
      <c r="C1" s="332"/>
      <c r="D1" s="202"/>
      <c r="E1" s="333"/>
      <c r="F1" s="334"/>
      <c r="G1" s="333"/>
      <c r="H1" s="335"/>
      <c r="I1" s="336"/>
    </row>
    <row r="2" spans="1:9" x14ac:dyDescent="0.25">
      <c r="A2" s="337"/>
      <c r="B2" s="338"/>
      <c r="C2" s="338" t="s">
        <v>577</v>
      </c>
      <c r="D2" s="339"/>
      <c r="E2" s="340"/>
      <c r="F2" s="341"/>
      <c r="G2" s="340"/>
      <c r="H2" s="342"/>
      <c r="I2" s="343"/>
    </row>
    <row r="3" spans="1:9" x14ac:dyDescent="0.25">
      <c r="A3" s="344"/>
      <c r="B3" s="332"/>
      <c r="C3" s="345" t="s">
        <v>578</v>
      </c>
      <c r="D3" s="202"/>
      <c r="E3" s="333"/>
      <c r="F3" s="334"/>
      <c r="G3" s="333"/>
      <c r="H3" s="335"/>
      <c r="I3" s="346"/>
    </row>
    <row r="4" spans="1:9" x14ac:dyDescent="0.25">
      <c r="A4" s="344"/>
      <c r="B4" s="332"/>
      <c r="C4" s="345" t="s">
        <v>579</v>
      </c>
      <c r="D4" s="202"/>
      <c r="E4" s="333"/>
      <c r="F4" s="334"/>
      <c r="G4" s="333"/>
      <c r="H4" s="335"/>
      <c r="I4" s="346"/>
    </row>
    <row r="5" spans="1:9" x14ac:dyDescent="0.25">
      <c r="A5" s="344"/>
      <c r="B5" s="332"/>
      <c r="C5" s="332"/>
      <c r="D5" s="202"/>
      <c r="E5" s="333"/>
      <c r="F5" s="334"/>
      <c r="G5" s="333"/>
      <c r="H5" s="335"/>
      <c r="I5" s="346"/>
    </row>
    <row r="6" spans="1:9" x14ac:dyDescent="0.25">
      <c r="A6" s="344"/>
      <c r="B6" s="332"/>
      <c r="C6" s="332" t="s">
        <v>580</v>
      </c>
      <c r="D6" s="202"/>
      <c r="E6" s="333"/>
      <c r="F6" s="334"/>
      <c r="G6" s="333"/>
      <c r="H6" s="335"/>
      <c r="I6" s="346"/>
    </row>
    <row r="7" spans="1:9" x14ac:dyDescent="0.25">
      <c r="A7" s="344"/>
      <c r="B7" s="332"/>
      <c r="C7" s="332"/>
      <c r="D7" s="202"/>
      <c r="E7" s="333"/>
      <c r="F7" s="334"/>
      <c r="G7" s="333"/>
      <c r="H7" s="335"/>
      <c r="I7" s="346"/>
    </row>
    <row r="8" spans="1:9" x14ac:dyDescent="0.25">
      <c r="A8" s="344"/>
      <c r="B8" s="332"/>
      <c r="C8" s="332" t="s">
        <v>581</v>
      </c>
      <c r="D8" s="202"/>
      <c r="E8" s="333"/>
      <c r="F8" s="334"/>
      <c r="G8" s="333"/>
      <c r="H8" s="335"/>
      <c r="I8" s="346"/>
    </row>
    <row r="9" spans="1:9" x14ac:dyDescent="0.25">
      <c r="A9" s="344"/>
      <c r="B9" s="332"/>
      <c r="C9" s="332"/>
      <c r="D9" s="202"/>
      <c r="E9" s="333"/>
      <c r="F9" s="334"/>
      <c r="G9" s="333"/>
      <c r="H9" s="335"/>
      <c r="I9" s="346"/>
    </row>
    <row r="10" spans="1:9" x14ac:dyDescent="0.25">
      <c r="A10" s="344"/>
      <c r="B10" s="332"/>
      <c r="C10" s="332" t="s">
        <v>582</v>
      </c>
      <c r="D10" s="202"/>
      <c r="E10" s="333"/>
      <c r="F10" s="334"/>
      <c r="G10" s="333"/>
      <c r="H10" s="335"/>
      <c r="I10" s="346"/>
    </row>
    <row r="11" spans="1:9" x14ac:dyDescent="0.25">
      <c r="A11" s="344"/>
      <c r="B11" s="332"/>
      <c r="C11" s="332"/>
      <c r="D11" s="202"/>
      <c r="E11" s="333"/>
      <c r="F11" s="334"/>
      <c r="G11" s="333"/>
      <c r="H11" s="335"/>
      <c r="I11" s="346"/>
    </row>
    <row r="12" spans="1:9" x14ac:dyDescent="0.25">
      <c r="A12" s="344"/>
      <c r="B12" s="332"/>
      <c r="C12" s="332" t="s">
        <v>583</v>
      </c>
      <c r="D12" s="202"/>
      <c r="E12" s="333"/>
      <c r="F12" s="334"/>
      <c r="G12" s="333"/>
      <c r="H12" s="335"/>
      <c r="I12" s="346"/>
    </row>
    <row r="13" spans="1:9" x14ac:dyDescent="0.25">
      <c r="A13" s="344"/>
      <c r="B13" s="332"/>
      <c r="C13" s="332" t="s">
        <v>584</v>
      </c>
      <c r="D13" s="202"/>
      <c r="E13" s="333"/>
      <c r="F13" s="334"/>
      <c r="G13" s="333"/>
      <c r="H13" s="335"/>
      <c r="I13" s="346"/>
    </row>
    <row r="14" spans="1:9" x14ac:dyDescent="0.25">
      <c r="A14" s="344"/>
      <c r="B14" s="332"/>
      <c r="C14" s="332" t="s">
        <v>585</v>
      </c>
      <c r="D14" s="202"/>
      <c r="E14" s="333"/>
      <c r="F14" s="334"/>
      <c r="G14" s="333"/>
      <c r="H14" s="335"/>
      <c r="I14" s="346"/>
    </row>
    <row r="15" spans="1:9" x14ac:dyDescent="0.25">
      <c r="A15" s="344"/>
      <c r="B15" s="332"/>
      <c r="C15" s="332"/>
      <c r="D15" s="202"/>
      <c r="E15" s="333"/>
      <c r="F15" s="334"/>
      <c r="G15" s="333"/>
      <c r="H15" s="335"/>
      <c r="I15" s="346"/>
    </row>
    <row r="16" spans="1:9" x14ac:dyDescent="0.25">
      <c r="A16" s="344"/>
      <c r="B16" s="332"/>
      <c r="C16" s="332" t="s">
        <v>586</v>
      </c>
      <c r="D16" s="202"/>
      <c r="E16" s="333"/>
      <c r="F16" s="334"/>
      <c r="G16" s="333"/>
      <c r="H16" s="335"/>
      <c r="I16" s="346"/>
    </row>
    <row r="17" spans="1:9" x14ac:dyDescent="0.25">
      <c r="A17" s="344"/>
      <c r="B17" s="332"/>
      <c r="C17" s="332"/>
      <c r="D17" s="202"/>
      <c r="E17" s="333"/>
      <c r="F17" s="334"/>
      <c r="G17" s="333"/>
      <c r="H17" s="335"/>
      <c r="I17" s="346"/>
    </row>
    <row r="18" spans="1:9" x14ac:dyDescent="0.25">
      <c r="A18" s="344"/>
      <c r="B18" s="332"/>
      <c r="C18" s="332" t="s">
        <v>587</v>
      </c>
      <c r="D18" s="202"/>
      <c r="E18" s="333"/>
      <c r="F18" s="334"/>
      <c r="G18" s="333"/>
      <c r="H18" s="335"/>
      <c r="I18" s="346"/>
    </row>
    <row r="19" spans="1:9" x14ac:dyDescent="0.25">
      <c r="A19" s="344"/>
      <c r="B19" s="332"/>
      <c r="C19" s="332"/>
      <c r="D19" s="202"/>
      <c r="E19" s="333"/>
      <c r="F19" s="334"/>
      <c r="G19" s="333"/>
      <c r="H19" s="335"/>
      <c r="I19" s="346"/>
    </row>
    <row r="20" spans="1:9" x14ac:dyDescent="0.25">
      <c r="A20" s="344"/>
      <c r="B20" s="332"/>
      <c r="C20" s="332" t="s">
        <v>588</v>
      </c>
      <c r="D20" s="332"/>
      <c r="E20" s="333"/>
      <c r="F20" s="334"/>
      <c r="G20" s="333"/>
      <c r="H20" s="335"/>
      <c r="I20" s="346"/>
    </row>
    <row r="21" spans="1:9" x14ac:dyDescent="0.25">
      <c r="A21" s="344"/>
      <c r="B21" s="332"/>
      <c r="C21" s="332"/>
      <c r="D21" s="202"/>
      <c r="E21" s="333"/>
      <c r="F21" s="334"/>
      <c r="G21" s="333"/>
      <c r="H21" s="335"/>
      <c r="I21" s="346"/>
    </row>
    <row r="22" spans="1:9" ht="17.399999999999999" x14ac:dyDescent="0.3">
      <c r="A22" s="344"/>
      <c r="B22"/>
      <c r="C22" s="347" t="s">
        <v>589</v>
      </c>
      <c r="D22" s="202"/>
      <c r="E22" s="333"/>
      <c r="F22" s="334"/>
      <c r="G22" s="333"/>
      <c r="H22" s="335"/>
      <c r="I22" s="346"/>
    </row>
    <row r="23" spans="1:9" ht="12.75" customHeight="1" x14ac:dyDescent="0.3">
      <c r="A23" s="344"/>
      <c r="B23" s="348"/>
      <c r="C23" s="349" t="s">
        <v>590</v>
      </c>
      <c r="D23" s="202"/>
      <c r="E23" s="333"/>
      <c r="F23" s="334"/>
      <c r="G23" s="333"/>
      <c r="H23" s="335"/>
      <c r="I23" s="346"/>
    </row>
    <row r="24" spans="1:9" ht="12.75" customHeight="1" x14ac:dyDescent="0.3">
      <c r="A24" s="344"/>
      <c r="B24" s="348"/>
      <c r="C24" s="345"/>
      <c r="D24" s="202"/>
      <c r="E24" s="333"/>
      <c r="F24" s="334"/>
      <c r="G24" s="333"/>
      <c r="H24" s="335"/>
      <c r="I24" s="346"/>
    </row>
    <row r="25" spans="1:9" ht="17.7" customHeight="1" x14ac:dyDescent="0.3">
      <c r="A25" s="344"/>
      <c r="B25" s="332"/>
      <c r="C25" s="348" t="s">
        <v>591</v>
      </c>
      <c r="D25" s="202"/>
      <c r="E25" s="333"/>
      <c r="F25" s="334"/>
      <c r="G25" s="333"/>
      <c r="H25" s="335"/>
      <c r="I25" s="346"/>
    </row>
    <row r="26" spans="1:9" ht="12.75" customHeight="1" x14ac:dyDescent="0.25">
      <c r="A26" s="344"/>
      <c r="B26" s="345" t="s">
        <v>27</v>
      </c>
      <c r="C26" s="332" t="s">
        <v>592</v>
      </c>
      <c r="D26" s="202"/>
      <c r="E26" s="333"/>
      <c r="F26" s="334"/>
      <c r="G26"/>
      <c r="H26" s="335"/>
      <c r="I26" s="346"/>
    </row>
    <row r="27" spans="1:9" ht="12.75" customHeight="1" x14ac:dyDescent="0.25">
      <c r="A27" s="344"/>
      <c r="B27" s="332" t="s">
        <v>41</v>
      </c>
      <c r="C27" s="332" t="s">
        <v>593</v>
      </c>
      <c r="D27" s="202"/>
      <c r="E27" s="333"/>
      <c r="F27" s="334"/>
      <c r="G27" s="333">
        <f>SUM(G63)</f>
        <v>0</v>
      </c>
      <c r="H27" s="335"/>
      <c r="I27" s="346"/>
    </row>
    <row r="28" spans="1:9" ht="12.75" customHeight="1" x14ac:dyDescent="0.25">
      <c r="A28" s="344"/>
      <c r="B28" s="332"/>
      <c r="C28" s="332" t="s">
        <v>594</v>
      </c>
      <c r="D28" s="202"/>
      <c r="E28" s="333"/>
      <c r="F28" s="334"/>
      <c r="G28" s="333">
        <f>SUM(G73)</f>
        <v>0</v>
      </c>
      <c r="H28" s="335"/>
      <c r="I28" s="346"/>
    </row>
    <row r="29" spans="1:9" ht="12.75" customHeight="1" x14ac:dyDescent="0.25">
      <c r="A29" s="344"/>
      <c r="B29" s="345"/>
      <c r="C29" s="345" t="s">
        <v>595</v>
      </c>
      <c r="D29" s="349"/>
      <c r="E29" s="333"/>
      <c r="F29" s="205"/>
      <c r="G29" s="350">
        <f>SUM(G27:G28)</f>
        <v>0</v>
      </c>
      <c r="H29" s="335"/>
      <c r="I29" s="346"/>
    </row>
    <row r="30" spans="1:9" ht="12.75" customHeight="1" x14ac:dyDescent="0.25">
      <c r="A30" s="344"/>
      <c r="B30" s="345"/>
      <c r="C30" s="345"/>
      <c r="D30" s="349"/>
      <c r="E30" s="333"/>
      <c r="F30" s="205"/>
      <c r="G30" s="350"/>
      <c r="H30" s="335"/>
      <c r="I30" s="346"/>
    </row>
    <row r="31" spans="1:9" ht="12.75" customHeight="1" x14ac:dyDescent="0.25">
      <c r="A31" s="344"/>
      <c r="B31" s="332"/>
      <c r="C31" s="351"/>
      <c r="D31" s="332"/>
      <c r="E31" s="333"/>
      <c r="F31" s="334"/>
      <c r="G31" s="350"/>
      <c r="H31" s="335"/>
      <c r="I31" s="346"/>
    </row>
    <row r="32" spans="1:9" ht="12.75" customHeight="1" x14ac:dyDescent="0.25">
      <c r="A32" s="344"/>
      <c r="B32"/>
      <c r="C32" s="345" t="s">
        <v>596</v>
      </c>
      <c r="D32" s="202"/>
      <c r="E32" s="333"/>
      <c r="F32" s="334"/>
      <c r="G32" s="352"/>
      <c r="H32" s="335"/>
      <c r="I32" s="346"/>
    </row>
    <row r="33" spans="1:9" ht="12.75" customHeight="1" x14ac:dyDescent="0.25">
      <c r="A33" s="344"/>
      <c r="B33"/>
      <c r="C33" s="332" t="s">
        <v>597</v>
      </c>
      <c r="D33" s="202"/>
      <c r="E33" s="333"/>
      <c r="F33"/>
      <c r="G33"/>
      <c r="H33"/>
      <c r="I33" s="353"/>
    </row>
    <row r="34" spans="1:9" ht="12.75" customHeight="1" x14ac:dyDescent="0.25">
      <c r="A34" s="344"/>
      <c r="B34"/>
      <c r="C34" s="332" t="s">
        <v>598</v>
      </c>
      <c r="D34" s="202"/>
      <c r="E34" s="333"/>
      <c r="F34"/>
      <c r="G34"/>
      <c r="H34"/>
      <c r="I34" s="353"/>
    </row>
    <row r="35" spans="1:9" ht="12.75" customHeight="1" x14ac:dyDescent="0.25">
      <c r="A35" s="344"/>
      <c r="B35"/>
      <c r="C35" s="332" t="s">
        <v>599</v>
      </c>
      <c r="D35" s="202"/>
      <c r="E35" s="333"/>
      <c r="F35"/>
      <c r="G35"/>
      <c r="H35"/>
      <c r="I35" s="353"/>
    </row>
    <row r="36" spans="1:9" ht="12.75" customHeight="1" x14ac:dyDescent="0.25">
      <c r="A36" s="344"/>
      <c r="B36"/>
      <c r="C36" s="332" t="s">
        <v>600</v>
      </c>
      <c r="D36" s="202"/>
      <c r="E36" s="333"/>
      <c r="F36"/>
      <c r="G36"/>
      <c r="H36"/>
      <c r="I36" s="353"/>
    </row>
    <row r="37" spans="1:9" ht="12.75" customHeight="1" x14ac:dyDescent="0.25">
      <c r="A37" s="344"/>
      <c r="B37"/>
      <c r="C37" s="332" t="s">
        <v>601</v>
      </c>
      <c r="D37" s="202"/>
      <c r="E37" s="333"/>
      <c r="F37"/>
      <c r="G37"/>
      <c r="H37"/>
      <c r="I37" s="353"/>
    </row>
    <row r="38" spans="1:9" ht="12.75" customHeight="1" x14ac:dyDescent="0.25">
      <c r="A38" s="344"/>
      <c r="B38"/>
      <c r="C38" s="332" t="s">
        <v>602</v>
      </c>
      <c r="D38" s="202"/>
      <c r="E38" s="333"/>
      <c r="F38"/>
      <c r="G38"/>
      <c r="H38"/>
      <c r="I38" s="353"/>
    </row>
    <row r="39" spans="1:9" ht="12.75" customHeight="1" x14ac:dyDescent="0.25">
      <c r="A39" s="354"/>
      <c r="B39" s="355"/>
      <c r="C39" s="356" t="s">
        <v>603</v>
      </c>
      <c r="D39" s="357"/>
      <c r="E39" s="358"/>
      <c r="F39" s="359"/>
      <c r="G39" s="355"/>
      <c r="H39" s="355"/>
      <c r="I39" s="360"/>
    </row>
    <row r="40" spans="1:9" ht="12.75" customHeight="1" x14ac:dyDescent="0.25">
      <c r="A40" s="361" t="s">
        <v>604</v>
      </c>
      <c r="B40" s="361" t="s">
        <v>118</v>
      </c>
      <c r="C40" s="361" t="s">
        <v>605</v>
      </c>
      <c r="D40" s="362" t="s">
        <v>606</v>
      </c>
      <c r="E40" s="363" t="s">
        <v>121</v>
      </c>
      <c r="F40" s="363" t="s">
        <v>607</v>
      </c>
      <c r="G40" s="363" t="s">
        <v>608</v>
      </c>
      <c r="H40" s="364" t="s">
        <v>609</v>
      </c>
      <c r="I40" s="365" t="s">
        <v>610</v>
      </c>
    </row>
    <row r="41" spans="1:9" ht="15" customHeight="1" x14ac:dyDescent="0.3">
      <c r="A41" s="366"/>
      <c r="B41" s="367" t="s">
        <v>611</v>
      </c>
      <c r="C41" s="367" t="s">
        <v>592</v>
      </c>
      <c r="D41" s="368"/>
      <c r="E41" s="369"/>
      <c r="F41" s="370"/>
      <c r="G41" s="369"/>
      <c r="H41" s="371"/>
      <c r="I41" s="372"/>
    </row>
    <row r="42" spans="1:9" ht="12.75" customHeight="1" x14ac:dyDescent="0.3">
      <c r="A42" s="366"/>
      <c r="B42" s="366"/>
      <c r="C42" s="367"/>
      <c r="D42" s="368"/>
      <c r="E42" s="369"/>
      <c r="F42" s="370"/>
      <c r="G42" s="369"/>
      <c r="H42" s="371"/>
      <c r="I42" s="372"/>
    </row>
    <row r="43" spans="1:9" ht="12.75" customHeight="1" x14ac:dyDescent="0.25">
      <c r="A43" s="373"/>
      <c r="B43" s="374" t="s">
        <v>612</v>
      </c>
      <c r="C43" s="375"/>
      <c r="D43" s="376"/>
      <c r="E43" s="377"/>
      <c r="F43" s="377"/>
      <c r="G43" s="378"/>
      <c r="H43" s="371"/>
      <c r="I43" s="372"/>
    </row>
    <row r="44" spans="1:9" ht="12.75" customHeight="1" x14ac:dyDescent="0.25">
      <c r="A44" s="379" t="s">
        <v>613</v>
      </c>
      <c r="B44" s="366" t="s">
        <v>614</v>
      </c>
      <c r="C44" s="366" t="s">
        <v>615</v>
      </c>
      <c r="D44" s="368" t="s">
        <v>616</v>
      </c>
      <c r="E44" s="369">
        <v>2</v>
      </c>
      <c r="F44" s="448"/>
      <c r="G44" s="369">
        <f>E44*F44</f>
        <v>0</v>
      </c>
      <c r="H44" s="380">
        <v>0</v>
      </c>
      <c r="I44" s="371">
        <f>E44*H44</f>
        <v>0</v>
      </c>
    </row>
    <row r="45" spans="1:9" ht="12.75" customHeight="1" x14ac:dyDescent="0.25">
      <c r="A45" s="373"/>
      <c r="B45" s="373"/>
      <c r="C45" s="375" t="s">
        <v>617</v>
      </c>
      <c r="D45" s="368" t="s">
        <v>616</v>
      </c>
      <c r="E45" s="369">
        <v>2</v>
      </c>
      <c r="F45" s="448"/>
      <c r="G45" s="369">
        <f>E45*F45</f>
        <v>0</v>
      </c>
      <c r="H45" s="380">
        <v>1.6199999999999999E-3</v>
      </c>
      <c r="I45" s="371">
        <f>E45*H45</f>
        <v>3.2399999999999998E-3</v>
      </c>
    </row>
    <row r="46" spans="1:9" ht="12.75" customHeight="1" x14ac:dyDescent="0.25">
      <c r="A46" s="373"/>
      <c r="B46" s="373"/>
      <c r="C46" s="375" t="s">
        <v>618</v>
      </c>
      <c r="D46" s="368"/>
      <c r="E46" s="369"/>
      <c r="F46" s="370"/>
      <c r="G46" s="369"/>
      <c r="H46" s="380"/>
      <c r="I46" s="371"/>
    </row>
    <row r="47" spans="1:9" ht="12.75" customHeight="1" x14ac:dyDescent="0.25">
      <c r="A47" s="381"/>
      <c r="B47" s="381"/>
      <c r="C47" s="382" t="s">
        <v>619</v>
      </c>
      <c r="D47" s="383"/>
      <c r="E47" s="384"/>
      <c r="F47" s="385"/>
      <c r="G47" s="384"/>
      <c r="H47" s="386"/>
      <c r="I47" s="387"/>
    </row>
    <row r="48" spans="1:9" ht="12.75" customHeight="1" x14ac:dyDescent="0.25">
      <c r="A48" s="379" t="s">
        <v>620</v>
      </c>
      <c r="B48" s="366" t="s">
        <v>621</v>
      </c>
      <c r="C48" s="375" t="s">
        <v>622</v>
      </c>
      <c r="D48" s="368" t="s">
        <v>616</v>
      </c>
      <c r="E48" s="369">
        <v>1</v>
      </c>
      <c r="F48" s="448"/>
      <c r="G48" s="369">
        <f>E48*F48</f>
        <v>0</v>
      </c>
      <c r="H48" s="388">
        <v>0</v>
      </c>
      <c r="I48" s="371">
        <f>E48*H48</f>
        <v>0</v>
      </c>
    </row>
    <row r="49" spans="1:9" ht="12.75" customHeight="1" x14ac:dyDescent="0.3">
      <c r="A49" s="375"/>
      <c r="B49" s="366"/>
      <c r="C49" s="389" t="s">
        <v>623</v>
      </c>
      <c r="D49" s="368" t="s">
        <v>616</v>
      </c>
      <c r="E49" s="369">
        <v>1</v>
      </c>
      <c r="F49" s="448"/>
      <c r="G49" s="369">
        <f>E49*F49</f>
        <v>0</v>
      </c>
      <c r="H49" s="388">
        <v>8.0000000000000004E-4</v>
      </c>
      <c r="I49" s="371">
        <f>E49*H49</f>
        <v>8.0000000000000004E-4</v>
      </c>
    </row>
    <row r="50" spans="1:9" ht="12.75" customHeight="1" x14ac:dyDescent="0.25">
      <c r="A50" s="381"/>
      <c r="B50" s="381"/>
      <c r="C50" s="390" t="s">
        <v>624</v>
      </c>
      <c r="D50" s="391"/>
      <c r="E50" s="392"/>
      <c r="F50" s="392"/>
      <c r="G50" s="392"/>
      <c r="H50" s="393"/>
      <c r="I50" s="394"/>
    </row>
    <row r="51" spans="1:9" ht="12.75" customHeight="1" x14ac:dyDescent="0.25">
      <c r="A51" s="379" t="s">
        <v>625</v>
      </c>
      <c r="B51" s="366" t="s">
        <v>626</v>
      </c>
      <c r="C51" s="366" t="s">
        <v>627</v>
      </c>
      <c r="D51" s="368" t="s">
        <v>616</v>
      </c>
      <c r="E51" s="369">
        <v>1</v>
      </c>
      <c r="F51" s="448"/>
      <c r="G51" s="369">
        <f>E51*F51</f>
        <v>0</v>
      </c>
      <c r="H51" s="388">
        <v>0</v>
      </c>
      <c r="I51" s="371">
        <f>E51*H51</f>
        <v>0</v>
      </c>
    </row>
    <row r="52" spans="1:9" ht="12.75" customHeight="1" x14ac:dyDescent="0.25">
      <c r="A52" s="381"/>
      <c r="B52" s="381"/>
      <c r="C52" s="382" t="s">
        <v>628</v>
      </c>
      <c r="D52" s="383" t="s">
        <v>616</v>
      </c>
      <c r="E52" s="384">
        <v>1</v>
      </c>
      <c r="F52" s="449"/>
      <c r="G52" s="384">
        <f>E52*F52</f>
        <v>0</v>
      </c>
      <c r="H52" s="395">
        <v>1E-3</v>
      </c>
      <c r="I52" s="387">
        <f>E52*H52</f>
        <v>1E-3</v>
      </c>
    </row>
    <row r="53" spans="1:9" ht="12.75" customHeight="1" x14ac:dyDescent="0.25">
      <c r="A53" s="396" t="s">
        <v>629</v>
      </c>
      <c r="B53" s="397"/>
      <c r="C53" s="398"/>
      <c r="D53" s="399"/>
      <c r="E53" s="400"/>
      <c r="F53" s="401"/>
      <c r="G53" s="400"/>
      <c r="H53" s="402"/>
      <c r="I53" s="403"/>
    </row>
    <row r="54" spans="1:9" ht="12.75" customHeight="1" x14ac:dyDescent="0.25">
      <c r="A54" s="366" t="s">
        <v>630</v>
      </c>
      <c r="B54" s="374"/>
      <c r="C54" s="375" t="s">
        <v>631</v>
      </c>
      <c r="D54" s="376"/>
      <c r="E54" s="377"/>
      <c r="F54" s="377"/>
      <c r="G54" s="378"/>
      <c r="H54" s="404"/>
      <c r="I54" s="371"/>
    </row>
    <row r="55" spans="1:9" ht="12.75" customHeight="1" x14ac:dyDescent="0.25">
      <c r="A55" s="405" t="s">
        <v>632</v>
      </c>
      <c r="B55" s="406"/>
      <c r="C55" s="382"/>
      <c r="D55" s="407"/>
      <c r="E55" s="392"/>
      <c r="F55" s="392"/>
      <c r="G55" s="408"/>
      <c r="H55" s="394"/>
      <c r="I55" s="387"/>
    </row>
    <row r="56" spans="1:9" ht="12.75" customHeight="1" x14ac:dyDescent="0.25">
      <c r="A56" s="379" t="s">
        <v>633</v>
      </c>
      <c r="B56" s="366" t="s">
        <v>634</v>
      </c>
      <c r="C56" s="409" t="s">
        <v>635</v>
      </c>
      <c r="D56" s="368" t="s">
        <v>192</v>
      </c>
      <c r="E56" s="369">
        <v>0.3</v>
      </c>
      <c r="F56" s="448"/>
      <c r="G56" s="369">
        <f>E56*F56</f>
        <v>0</v>
      </c>
      <c r="H56" s="388">
        <v>3.4399999999999999E-3</v>
      </c>
      <c r="I56" s="371">
        <f>E56*H56</f>
        <v>1.0319999999999999E-3</v>
      </c>
    </row>
    <row r="57" spans="1:9" ht="12.75" customHeight="1" x14ac:dyDescent="0.25">
      <c r="A57" s="373"/>
      <c r="B57" s="373"/>
      <c r="C57" s="409" t="s">
        <v>636</v>
      </c>
      <c r="D57" s="373"/>
      <c r="E57" s="377"/>
      <c r="F57" s="377"/>
      <c r="G57" s="377"/>
      <c r="H57" s="410"/>
      <c r="I57" s="404"/>
    </row>
    <row r="58" spans="1:9" ht="12.75" customHeight="1" x14ac:dyDescent="0.25">
      <c r="A58" s="373"/>
      <c r="B58" s="373"/>
      <c r="C58" s="411" t="s">
        <v>637</v>
      </c>
      <c r="D58" s="373"/>
      <c r="E58" s="377"/>
      <c r="F58" s="370"/>
      <c r="G58" s="369"/>
      <c r="H58" s="388"/>
      <c r="I58" s="371"/>
    </row>
    <row r="59" spans="1:9" ht="12.75" customHeight="1" x14ac:dyDescent="0.25">
      <c r="A59" s="381"/>
      <c r="B59" s="381"/>
      <c r="C59" s="412" t="s">
        <v>1096</v>
      </c>
      <c r="D59" s="381"/>
      <c r="E59" s="392"/>
      <c r="F59" s="385"/>
      <c r="G59" s="384"/>
      <c r="H59" s="395"/>
      <c r="I59" s="387"/>
    </row>
    <row r="60" spans="1:9" ht="12.75" customHeight="1" x14ac:dyDescent="0.25">
      <c r="A60" s="413"/>
      <c r="B60" s="413"/>
      <c r="C60" s="414" t="s">
        <v>638</v>
      </c>
      <c r="D60" s="415"/>
      <c r="E60" s="416"/>
      <c r="F60" s="416"/>
      <c r="G60" s="417">
        <f>SUM(G44:G56)</f>
        <v>0</v>
      </c>
      <c r="H60" s="418"/>
      <c r="I60" s="417">
        <f>SUM(I44:I56)</f>
        <v>6.0720000000000001E-3</v>
      </c>
    </row>
    <row r="61" spans="1:9" ht="12.75" customHeight="1" x14ac:dyDescent="0.25">
      <c r="A61" s="373"/>
      <c r="B61" s="366"/>
      <c r="C61" s="366" t="s">
        <v>639</v>
      </c>
      <c r="D61" s="368"/>
      <c r="E61" s="369"/>
      <c r="F61" s="370"/>
      <c r="G61" s="369"/>
      <c r="H61" s="419"/>
      <c r="I61" s="420"/>
    </row>
    <row r="62" spans="1:9" ht="12.75" customHeight="1" x14ac:dyDescent="0.25">
      <c r="A62" s="373"/>
      <c r="B62" s="366" t="s">
        <v>640</v>
      </c>
      <c r="C62" s="366" t="s">
        <v>641</v>
      </c>
      <c r="D62" s="368" t="s">
        <v>228</v>
      </c>
      <c r="E62" s="371">
        <f>SUM(I60)</f>
        <v>6.0720000000000001E-3</v>
      </c>
      <c r="F62" s="448"/>
      <c r="G62" s="369">
        <f>E62*F62</f>
        <v>0</v>
      </c>
      <c r="H62" s="419"/>
      <c r="I62" s="420"/>
    </row>
    <row r="63" spans="1:9" ht="12.75" customHeight="1" x14ac:dyDescent="0.25">
      <c r="A63" s="421"/>
      <c r="B63" s="421"/>
      <c r="C63" s="422" t="s">
        <v>642</v>
      </c>
      <c r="D63" s="423"/>
      <c r="E63" s="424"/>
      <c r="F63" s="424"/>
      <c r="G63" s="425">
        <f>SUM(G60,G62)</f>
        <v>0</v>
      </c>
      <c r="H63" s="426"/>
      <c r="I63" s="427"/>
    </row>
    <row r="64" spans="1:9" ht="12.75" customHeight="1" x14ac:dyDescent="0.25">
      <c r="A64" s="397"/>
      <c r="B64" s="397"/>
      <c r="C64" s="428"/>
      <c r="D64" s="429"/>
      <c r="E64" s="430"/>
      <c r="F64" s="430"/>
      <c r="G64" s="431"/>
      <c r="H64" s="432"/>
      <c r="I64" s="433"/>
    </row>
    <row r="65" spans="1:9" ht="12.75" customHeight="1" x14ac:dyDescent="0.25">
      <c r="A65" s="373"/>
      <c r="B65" s="373"/>
      <c r="C65" s="434" t="s">
        <v>643</v>
      </c>
      <c r="D65" s="435"/>
      <c r="E65" s="377"/>
      <c r="F65" s="377"/>
      <c r="G65" s="436"/>
      <c r="H65" s="378"/>
      <c r="I65" s="404"/>
    </row>
    <row r="66" spans="1:9" ht="12.75" customHeight="1" x14ac:dyDescent="0.25">
      <c r="A66" s="381"/>
      <c r="B66" s="381"/>
      <c r="C66" s="382" t="s">
        <v>644</v>
      </c>
      <c r="D66" s="383" t="s">
        <v>384</v>
      </c>
      <c r="E66" s="384">
        <v>1</v>
      </c>
      <c r="F66" s="449"/>
      <c r="G66" s="384">
        <f>E66*F66</f>
        <v>0</v>
      </c>
      <c r="H66" s="437">
        <v>1E-3</v>
      </c>
      <c r="I66" s="387">
        <f>E66*H66</f>
        <v>1E-3</v>
      </c>
    </row>
    <row r="67" spans="1:9" ht="12.75" customHeight="1" x14ac:dyDescent="0.25">
      <c r="A67" s="438"/>
      <c r="B67" s="438"/>
      <c r="C67" s="439" t="s">
        <v>645</v>
      </c>
      <c r="D67" s="440" t="s">
        <v>616</v>
      </c>
      <c r="E67" s="441">
        <v>1</v>
      </c>
      <c r="F67" s="450"/>
      <c r="G67" s="441">
        <f>E67*F67</f>
        <v>0</v>
      </c>
      <c r="H67" s="442">
        <v>0</v>
      </c>
      <c r="I67" s="443">
        <f>E67*H67</f>
        <v>0</v>
      </c>
    </row>
    <row r="68" spans="1:9" ht="12.75" customHeight="1" x14ac:dyDescent="0.25">
      <c r="A68" s="373"/>
      <c r="B68" s="373"/>
      <c r="C68" s="375" t="s">
        <v>646</v>
      </c>
      <c r="D68" s="368" t="s">
        <v>616</v>
      </c>
      <c r="E68" s="369">
        <v>1</v>
      </c>
      <c r="F68" s="448"/>
      <c r="G68" s="369">
        <f>E68*F68</f>
        <v>0</v>
      </c>
      <c r="H68" s="444">
        <v>0</v>
      </c>
      <c r="I68" s="371">
        <f>E68*H68</f>
        <v>0</v>
      </c>
    </row>
    <row r="69" spans="1:9" ht="12.75" customHeight="1" x14ac:dyDescent="0.25">
      <c r="A69" s="438"/>
      <c r="B69" s="438"/>
      <c r="C69" s="439" t="s">
        <v>647</v>
      </c>
      <c r="D69" s="445" t="s">
        <v>648</v>
      </c>
      <c r="E69" s="441">
        <v>1</v>
      </c>
      <c r="F69" s="450"/>
      <c r="G69" s="441">
        <f>E69*F69</f>
        <v>0</v>
      </c>
      <c r="H69" s="442">
        <v>0</v>
      </c>
      <c r="I69" s="443">
        <f>E69*H69</f>
        <v>0</v>
      </c>
    </row>
    <row r="70" spans="1:9" ht="12.75" customHeight="1" x14ac:dyDescent="0.25">
      <c r="A70" s="413"/>
      <c r="B70" s="413"/>
      <c r="C70" s="414" t="s">
        <v>638</v>
      </c>
      <c r="D70" s="415"/>
      <c r="E70" s="416"/>
      <c r="F70" s="416"/>
      <c r="G70" s="417">
        <f>SUM(G66:G69)</f>
        <v>0</v>
      </c>
      <c r="H70" s="418"/>
      <c r="I70" s="417">
        <f>SUM(I66:I69)</f>
        <v>1E-3</v>
      </c>
    </row>
    <row r="71" spans="1:9" ht="12.75" customHeight="1" x14ac:dyDescent="0.25">
      <c r="A71" s="373"/>
      <c r="B71" s="366"/>
      <c r="C71" s="366" t="s">
        <v>639</v>
      </c>
      <c r="D71" s="368"/>
      <c r="E71" s="369"/>
      <c r="F71" s="370"/>
      <c r="G71" s="369"/>
      <c r="H71" s="378"/>
      <c r="I71" s="404"/>
    </row>
    <row r="72" spans="1:9" ht="12.75" customHeight="1" x14ac:dyDescent="0.25">
      <c r="A72" s="373"/>
      <c r="B72" s="366" t="s">
        <v>640</v>
      </c>
      <c r="C72" s="366" t="s">
        <v>641</v>
      </c>
      <c r="D72" s="368" t="s">
        <v>228</v>
      </c>
      <c r="E72" s="371">
        <f>SUM(I70)</f>
        <v>1E-3</v>
      </c>
      <c r="F72" s="448"/>
      <c r="G72" s="369">
        <f>E72*F72</f>
        <v>0</v>
      </c>
      <c r="H72" s="378"/>
      <c r="I72" s="404"/>
    </row>
    <row r="73" spans="1:9" ht="12.75" customHeight="1" x14ac:dyDescent="0.25">
      <c r="A73" s="421"/>
      <c r="B73" s="421"/>
      <c r="C73" s="422" t="s">
        <v>649</v>
      </c>
      <c r="D73" s="423"/>
      <c r="E73" s="424"/>
      <c r="F73" s="424"/>
      <c r="G73" s="425">
        <f>SUM(G70,G72)</f>
        <v>0</v>
      </c>
      <c r="H73" s="446"/>
      <c r="I73" s="447"/>
    </row>
    <row r="74" spans="1:9" ht="12.75" customHeight="1" x14ac:dyDescent="0.25">
      <c r="A74" s="196"/>
      <c r="B74" s="196"/>
      <c r="C74" s="197"/>
      <c r="D74" s="198"/>
      <c r="E74" s="199"/>
      <c r="F74" s="199"/>
      <c r="G74" s="199"/>
      <c r="H74" s="200"/>
      <c r="I74" s="201"/>
    </row>
    <row r="75" spans="1:9" ht="12.75" customHeight="1" x14ac:dyDescent="0.25">
      <c r="A75" s="196"/>
      <c r="B75" s="196"/>
      <c r="C75" s="197"/>
      <c r="D75" s="198"/>
      <c r="E75" s="199"/>
      <c r="F75" s="199"/>
      <c r="G75" s="199"/>
      <c r="H75" s="200"/>
      <c r="I75" s="201"/>
    </row>
    <row r="76" spans="1:9" ht="12.75" customHeight="1" x14ac:dyDescent="0.25">
      <c r="A76" s="196"/>
      <c r="B76" s="196"/>
      <c r="C76" s="197"/>
      <c r="D76" s="198"/>
      <c r="E76" s="199"/>
      <c r="F76" s="199"/>
      <c r="G76" s="199"/>
      <c r="H76" s="200"/>
      <c r="I76" s="201"/>
    </row>
    <row r="77" spans="1:9" ht="12.75" customHeight="1" x14ac:dyDescent="0.25">
      <c r="A77" s="196"/>
      <c r="B77" s="196"/>
      <c r="C77" s="197"/>
      <c r="D77" s="198"/>
      <c r="E77" s="199"/>
      <c r="F77" s="199"/>
      <c r="G77" s="199"/>
      <c r="H77" s="200"/>
      <c r="I77" s="201"/>
    </row>
    <row r="78" spans="1:9" ht="12.75" customHeight="1" x14ac:dyDescent="0.25">
      <c r="A78"/>
      <c r="B78"/>
      <c r="C78"/>
      <c r="D78" s="10"/>
      <c r="E78"/>
      <c r="F78"/>
      <c r="G78"/>
      <c r="H78"/>
      <c r="I78"/>
    </row>
    <row r="79" spans="1:9" ht="12.75" customHeight="1" x14ac:dyDescent="0.25">
      <c r="A79"/>
      <c r="B79"/>
      <c r="C79"/>
      <c r="D79" s="10"/>
      <c r="E79"/>
      <c r="F79"/>
      <c r="G79"/>
      <c r="H79"/>
      <c r="I79"/>
    </row>
    <row r="80" spans="1:9" ht="12.75" customHeight="1" x14ac:dyDescent="0.25">
      <c r="A80"/>
      <c r="B80"/>
      <c r="C80"/>
      <c r="D80" s="10"/>
      <c r="E80"/>
      <c r="F80"/>
      <c r="G80"/>
      <c r="H80"/>
      <c r="I80"/>
    </row>
    <row r="81" spans="1:9" ht="12.75" customHeight="1" x14ac:dyDescent="0.25">
      <c r="A81"/>
      <c r="B81"/>
      <c r="C81"/>
      <c r="D81" s="10"/>
      <c r="E81"/>
      <c r="F81"/>
      <c r="G81"/>
      <c r="H81"/>
      <c r="I81"/>
    </row>
    <row r="82" spans="1:9" ht="12.75" customHeight="1" x14ac:dyDescent="0.25">
      <c r="A82"/>
      <c r="B82"/>
      <c r="C82"/>
      <c r="D82" s="10"/>
      <c r="E82"/>
      <c r="F82"/>
      <c r="G82"/>
      <c r="H82"/>
      <c r="I82"/>
    </row>
    <row r="83" spans="1:9" ht="12.75" customHeight="1" x14ac:dyDescent="0.25">
      <c r="A83"/>
      <c r="B83"/>
      <c r="C83"/>
      <c r="D83" s="10"/>
      <c r="E83"/>
      <c r="F83"/>
      <c r="G83"/>
      <c r="H83"/>
      <c r="I83"/>
    </row>
    <row r="84" spans="1:9" ht="12.75" customHeight="1" x14ac:dyDescent="0.25">
      <c r="A84"/>
      <c r="B84"/>
      <c r="C84"/>
      <c r="D84" s="10"/>
      <c r="E84"/>
      <c r="F84"/>
      <c r="G84"/>
      <c r="H84"/>
      <c r="I84"/>
    </row>
    <row r="85" spans="1:9" ht="12.75" customHeight="1" x14ac:dyDescent="0.25">
      <c r="A85"/>
      <c r="B85"/>
      <c r="C85"/>
      <c r="D85" s="10"/>
      <c r="E85"/>
      <c r="F85"/>
      <c r="G85"/>
      <c r="H85"/>
      <c r="I85"/>
    </row>
    <row r="86" spans="1:9" ht="12.75" customHeight="1" x14ac:dyDescent="0.25">
      <c r="A86"/>
      <c r="B86"/>
      <c r="C86"/>
      <c r="D86" s="10"/>
      <c r="E86"/>
      <c r="F86"/>
      <c r="G86"/>
      <c r="H86"/>
      <c r="I86"/>
    </row>
    <row r="87" spans="1:9" ht="12.75" customHeight="1" x14ac:dyDescent="0.25">
      <c r="A87"/>
      <c r="B87"/>
      <c r="C87"/>
      <c r="D87" s="10"/>
      <c r="E87"/>
      <c r="F87"/>
      <c r="G87"/>
      <c r="H87"/>
      <c r="I87"/>
    </row>
    <row r="88" spans="1:9" ht="12.75" customHeight="1" x14ac:dyDescent="0.25">
      <c r="A88"/>
      <c r="B88"/>
      <c r="C88"/>
      <c r="D88" s="10"/>
      <c r="E88"/>
      <c r="F88"/>
      <c r="G88"/>
      <c r="H88"/>
      <c r="I88"/>
    </row>
    <row r="89" spans="1:9" ht="12.75" customHeight="1" x14ac:dyDescent="0.25">
      <c r="A89"/>
      <c r="B89"/>
      <c r="C89"/>
      <c r="D89" s="10"/>
      <c r="E89"/>
      <c r="F89"/>
      <c r="G89"/>
      <c r="H89"/>
      <c r="I89"/>
    </row>
    <row r="90" spans="1:9" ht="12.75" customHeight="1" x14ac:dyDescent="0.25">
      <c r="A90"/>
      <c r="B90"/>
      <c r="C90"/>
      <c r="D90" s="10"/>
      <c r="E90"/>
      <c r="F90"/>
      <c r="G90"/>
      <c r="H90"/>
      <c r="I90"/>
    </row>
    <row r="91" spans="1:9" ht="12.75" customHeight="1" x14ac:dyDescent="0.25">
      <c r="A91"/>
      <c r="B91"/>
      <c r="C91"/>
      <c r="D91" s="10"/>
      <c r="E91"/>
      <c r="F91"/>
      <c r="G91"/>
      <c r="H91"/>
      <c r="I91"/>
    </row>
    <row r="92" spans="1:9" ht="12.75" customHeight="1" x14ac:dyDescent="0.25">
      <c r="A92"/>
      <c r="B92"/>
      <c r="C92"/>
      <c r="D92" s="10"/>
      <c r="E92"/>
      <c r="F92"/>
      <c r="G92"/>
      <c r="H92"/>
      <c r="I92"/>
    </row>
    <row r="93" spans="1:9" ht="12.75" customHeight="1" x14ac:dyDescent="0.25">
      <c r="A93"/>
      <c r="B93"/>
      <c r="C93"/>
      <c r="D93" s="10"/>
      <c r="E93"/>
      <c r="F93"/>
      <c r="G93"/>
      <c r="H93"/>
      <c r="I93"/>
    </row>
    <row r="94" spans="1:9" ht="12.75" customHeight="1" x14ac:dyDescent="0.25">
      <c r="A94"/>
      <c r="B94"/>
      <c r="C94"/>
      <c r="D94" s="10"/>
      <c r="E94"/>
      <c r="F94"/>
      <c r="G94"/>
      <c r="H94"/>
      <c r="I94"/>
    </row>
    <row r="95" spans="1:9" ht="12.75" customHeight="1" x14ac:dyDescent="0.25">
      <c r="A95"/>
      <c r="B95"/>
      <c r="C95"/>
      <c r="D95" s="10"/>
      <c r="E95"/>
      <c r="F95"/>
      <c r="G95"/>
      <c r="H95"/>
      <c r="I95"/>
    </row>
    <row r="96" spans="1:9" ht="12.75" customHeight="1" x14ac:dyDescent="0.25">
      <c r="A96"/>
      <c r="B96"/>
      <c r="C96"/>
      <c r="D96" s="10"/>
      <c r="E96"/>
      <c r="F96"/>
      <c r="G96"/>
      <c r="H96"/>
      <c r="I96"/>
    </row>
    <row r="97" spans="1:9" ht="12.75" customHeight="1" x14ac:dyDescent="0.25">
      <c r="A97"/>
      <c r="B97"/>
      <c r="C97"/>
      <c r="D97" s="10"/>
      <c r="E97"/>
      <c r="F97"/>
      <c r="G97"/>
      <c r="H97"/>
      <c r="I97"/>
    </row>
    <row r="98" spans="1:9" ht="12.75" customHeight="1" x14ac:dyDescent="0.25">
      <c r="A98"/>
      <c r="B98"/>
      <c r="C98"/>
      <c r="D98" s="10"/>
      <c r="E98"/>
      <c r="F98"/>
      <c r="G98"/>
      <c r="H98"/>
      <c r="I98"/>
    </row>
    <row r="99" spans="1:9" ht="12.75" customHeight="1" x14ac:dyDescent="0.25">
      <c r="A99"/>
      <c r="B99"/>
      <c r="C99"/>
      <c r="D99" s="10"/>
      <c r="E99"/>
      <c r="F99"/>
      <c r="G99"/>
      <c r="H99"/>
      <c r="I99"/>
    </row>
    <row r="100" spans="1:9" ht="12.75" customHeight="1" x14ac:dyDescent="0.25">
      <c r="A100"/>
      <c r="B100"/>
      <c r="C100"/>
      <c r="D100" s="10"/>
      <c r="E100"/>
      <c r="F100"/>
      <c r="G100"/>
      <c r="H100"/>
      <c r="I100"/>
    </row>
    <row r="101" spans="1:9" x14ac:dyDescent="0.25">
      <c r="A101"/>
      <c r="B101"/>
      <c r="C101"/>
      <c r="D101" s="10"/>
      <c r="E101"/>
      <c r="F101"/>
      <c r="G101"/>
      <c r="H101"/>
      <c r="I101"/>
    </row>
    <row r="102" spans="1:9" x14ac:dyDescent="0.25">
      <c r="A102"/>
      <c r="B102"/>
      <c r="C102"/>
      <c r="D102" s="10"/>
      <c r="E102"/>
      <c r="F102"/>
      <c r="G102"/>
      <c r="H102"/>
      <c r="I102"/>
    </row>
    <row r="103" spans="1:9" x14ac:dyDescent="0.25">
      <c r="A103"/>
      <c r="B103"/>
      <c r="C103"/>
      <c r="D103" s="10"/>
      <c r="E103"/>
      <c r="F103"/>
      <c r="G103"/>
      <c r="H103"/>
      <c r="I103"/>
    </row>
    <row r="104" spans="1:9" x14ac:dyDescent="0.25">
      <c r="A104"/>
      <c r="B104"/>
      <c r="C104"/>
      <c r="D104" s="10"/>
      <c r="E104"/>
      <c r="F104"/>
      <c r="G104"/>
      <c r="H104"/>
      <c r="I104"/>
    </row>
    <row r="105" spans="1:9" x14ac:dyDescent="0.25">
      <c r="A105"/>
      <c r="B105"/>
      <c r="C105"/>
      <c r="D105" s="10"/>
      <c r="E105"/>
      <c r="F105"/>
      <c r="G105"/>
      <c r="H105"/>
      <c r="I105"/>
    </row>
    <row r="106" spans="1:9" x14ac:dyDescent="0.25">
      <c r="A106"/>
      <c r="B106"/>
      <c r="C106"/>
      <c r="D106" s="10"/>
      <c r="E106"/>
      <c r="F106"/>
      <c r="G106"/>
      <c r="H106"/>
      <c r="I106"/>
    </row>
    <row r="107" spans="1:9" x14ac:dyDescent="0.25">
      <c r="A107"/>
      <c r="B107"/>
      <c r="C107"/>
      <c r="D107" s="10"/>
      <c r="E107"/>
      <c r="F107"/>
      <c r="G107"/>
      <c r="H107"/>
      <c r="I107"/>
    </row>
    <row r="108" spans="1:9" x14ac:dyDescent="0.25">
      <c r="A108"/>
      <c r="B108"/>
      <c r="C108"/>
      <c r="D108" s="10"/>
      <c r="E108"/>
      <c r="F108"/>
      <c r="G108"/>
      <c r="H108"/>
      <c r="I108"/>
    </row>
    <row r="109" spans="1:9" x14ac:dyDescent="0.25">
      <c r="A109"/>
      <c r="B109"/>
      <c r="C109"/>
      <c r="D109" s="10"/>
      <c r="E109"/>
      <c r="F109"/>
      <c r="G109"/>
      <c r="H109"/>
      <c r="I109"/>
    </row>
    <row r="110" spans="1:9" x14ac:dyDescent="0.25">
      <c r="A110"/>
      <c r="B110"/>
      <c r="C110"/>
      <c r="D110" s="10"/>
      <c r="E110"/>
      <c r="F110"/>
      <c r="G110"/>
      <c r="H110"/>
      <c r="I110"/>
    </row>
    <row r="111" spans="1:9" x14ac:dyDescent="0.25">
      <c r="A111"/>
      <c r="B111"/>
      <c r="C111"/>
      <c r="D111" s="10"/>
      <c r="E111"/>
      <c r="F111"/>
      <c r="G111"/>
      <c r="H111"/>
      <c r="I111"/>
    </row>
    <row r="112" spans="1:9" x14ac:dyDescent="0.25">
      <c r="A112"/>
      <c r="B112"/>
      <c r="C112"/>
      <c r="D112" s="10"/>
      <c r="E112"/>
      <c r="F112"/>
      <c r="G112"/>
      <c r="H112"/>
      <c r="I112"/>
    </row>
    <row r="113" spans="1:9" x14ac:dyDescent="0.25">
      <c r="A113"/>
      <c r="B113"/>
      <c r="C113"/>
      <c r="D113" s="10"/>
      <c r="E113"/>
      <c r="F113"/>
      <c r="G113"/>
      <c r="H113"/>
      <c r="I113"/>
    </row>
    <row r="114" spans="1:9" x14ac:dyDescent="0.25">
      <c r="A114"/>
      <c r="B114"/>
      <c r="C114"/>
      <c r="D114" s="10"/>
      <c r="E114"/>
      <c r="F114"/>
      <c r="G114"/>
      <c r="H114"/>
      <c r="I114"/>
    </row>
    <row r="115" spans="1:9" x14ac:dyDescent="0.25">
      <c r="A115"/>
      <c r="B115"/>
      <c r="C115"/>
      <c r="D115" s="10"/>
      <c r="E115"/>
      <c r="F115"/>
      <c r="G115"/>
      <c r="H115"/>
      <c r="I115"/>
    </row>
    <row r="116" spans="1:9" x14ac:dyDescent="0.25">
      <c r="A116"/>
      <c r="B116"/>
      <c r="C116"/>
      <c r="D116" s="10"/>
      <c r="E116"/>
      <c r="F116"/>
      <c r="G116"/>
      <c r="H116"/>
      <c r="I116"/>
    </row>
    <row r="117" spans="1:9" x14ac:dyDescent="0.25">
      <c r="A117"/>
      <c r="B117"/>
      <c r="C117"/>
      <c r="D117" s="10"/>
      <c r="E117"/>
      <c r="F117"/>
      <c r="G117"/>
      <c r="H117"/>
      <c r="I117"/>
    </row>
    <row r="118" spans="1:9" x14ac:dyDescent="0.25">
      <c r="A118"/>
      <c r="B118"/>
      <c r="C118"/>
      <c r="D118" s="10"/>
      <c r="E118"/>
      <c r="F118"/>
      <c r="G118"/>
      <c r="H118"/>
      <c r="I118"/>
    </row>
    <row r="119" spans="1:9" x14ac:dyDescent="0.25">
      <c r="A119"/>
      <c r="B119"/>
      <c r="C119"/>
      <c r="D119" s="10"/>
      <c r="E119"/>
      <c r="F119"/>
      <c r="G119"/>
      <c r="H119"/>
      <c r="I119"/>
    </row>
    <row r="120" spans="1:9" x14ac:dyDescent="0.25">
      <c r="A120"/>
      <c r="B120"/>
      <c r="C120"/>
      <c r="D120" s="10"/>
      <c r="E120"/>
      <c r="F120"/>
      <c r="G120"/>
      <c r="H120"/>
      <c r="I120"/>
    </row>
    <row r="121" spans="1:9" x14ac:dyDescent="0.25">
      <c r="A121"/>
      <c r="B121"/>
      <c r="C121"/>
      <c r="D121" s="10"/>
      <c r="E121"/>
      <c r="F121"/>
      <c r="G121"/>
      <c r="H121"/>
      <c r="I121"/>
    </row>
    <row r="122" spans="1:9" x14ac:dyDescent="0.25">
      <c r="A122"/>
      <c r="B122"/>
      <c r="C122"/>
      <c r="D122" s="10"/>
      <c r="E122"/>
      <c r="F122"/>
      <c r="G122"/>
      <c r="H122"/>
      <c r="I122"/>
    </row>
    <row r="123" spans="1:9" x14ac:dyDescent="0.25">
      <c r="A123"/>
      <c r="B123"/>
      <c r="C123"/>
      <c r="D123" s="10"/>
      <c r="E123"/>
      <c r="F123"/>
      <c r="G123"/>
      <c r="H123"/>
      <c r="I123"/>
    </row>
    <row r="124" spans="1:9" x14ac:dyDescent="0.25">
      <c r="A124"/>
      <c r="B124"/>
      <c r="C124"/>
      <c r="D124" s="10"/>
      <c r="E124"/>
      <c r="F124"/>
      <c r="G124"/>
      <c r="H124"/>
      <c r="I124"/>
    </row>
    <row r="125" spans="1:9" x14ac:dyDescent="0.25">
      <c r="A125"/>
      <c r="B125"/>
      <c r="C125"/>
      <c r="D125" s="10"/>
      <c r="E125"/>
      <c r="F125"/>
      <c r="G125"/>
      <c r="H125"/>
      <c r="I125"/>
    </row>
    <row r="126" spans="1:9" x14ac:dyDescent="0.25">
      <c r="A126"/>
      <c r="B126"/>
      <c r="C126"/>
      <c r="D126" s="10"/>
      <c r="E126"/>
      <c r="F126"/>
      <c r="G126"/>
      <c r="H126"/>
      <c r="I126"/>
    </row>
    <row r="127" spans="1:9" x14ac:dyDescent="0.25">
      <c r="A127"/>
      <c r="B127"/>
      <c r="C127"/>
      <c r="D127" s="10"/>
      <c r="E127"/>
      <c r="F127"/>
      <c r="G127"/>
      <c r="H127"/>
      <c r="I127"/>
    </row>
    <row r="128" spans="1:9" x14ac:dyDescent="0.25">
      <c r="A128"/>
      <c r="B128"/>
      <c r="C128"/>
      <c r="D128" s="10"/>
      <c r="E128"/>
      <c r="F128"/>
      <c r="G128"/>
      <c r="H128"/>
      <c r="I128"/>
    </row>
    <row r="129" spans="1:9" x14ac:dyDescent="0.25">
      <c r="A129"/>
      <c r="B129"/>
      <c r="C129"/>
      <c r="D129" s="10"/>
      <c r="E129"/>
      <c r="F129"/>
      <c r="G129"/>
      <c r="H129"/>
      <c r="I129"/>
    </row>
    <row r="130" spans="1:9" x14ac:dyDescent="0.25">
      <c r="A130"/>
      <c r="B130"/>
      <c r="C130"/>
      <c r="D130" s="10"/>
      <c r="E130"/>
      <c r="F130"/>
      <c r="G130"/>
      <c r="H130"/>
      <c r="I130"/>
    </row>
    <row r="131" spans="1:9" x14ac:dyDescent="0.25">
      <c r="A131"/>
      <c r="B131"/>
      <c r="C131"/>
      <c r="D131" s="10"/>
      <c r="E131"/>
      <c r="F131"/>
      <c r="G131"/>
      <c r="H131"/>
      <c r="I131"/>
    </row>
    <row r="132" spans="1:9" x14ac:dyDescent="0.25">
      <c r="A132"/>
      <c r="B132"/>
      <c r="C132"/>
      <c r="D132" s="10"/>
      <c r="E132"/>
      <c r="F132"/>
      <c r="G132"/>
      <c r="H132"/>
      <c r="I132"/>
    </row>
    <row r="133" spans="1:9" x14ac:dyDescent="0.25">
      <c r="A133"/>
      <c r="B133"/>
      <c r="C133"/>
      <c r="D133" s="10"/>
      <c r="E133"/>
      <c r="F133"/>
      <c r="G133"/>
      <c r="H133"/>
      <c r="I133"/>
    </row>
    <row r="134" spans="1:9" x14ac:dyDescent="0.25">
      <c r="A134"/>
      <c r="B134"/>
      <c r="C134"/>
      <c r="D134" s="10"/>
      <c r="E134"/>
      <c r="F134"/>
      <c r="G134"/>
      <c r="H134"/>
      <c r="I134"/>
    </row>
    <row r="135" spans="1:9" x14ac:dyDescent="0.25">
      <c r="A135"/>
      <c r="B135"/>
      <c r="C135"/>
      <c r="D135" s="10"/>
      <c r="E135"/>
      <c r="F135"/>
      <c r="G135"/>
      <c r="H135"/>
      <c r="I135"/>
    </row>
    <row r="136" spans="1:9" x14ac:dyDescent="0.25">
      <c r="A136"/>
      <c r="B136"/>
      <c r="C136"/>
      <c r="D136" s="10"/>
      <c r="E136"/>
      <c r="F136"/>
      <c r="G136"/>
      <c r="H136"/>
      <c r="I136"/>
    </row>
    <row r="137" spans="1:9" x14ac:dyDescent="0.25">
      <c r="A137"/>
      <c r="B137"/>
      <c r="C137"/>
      <c r="D137" s="10"/>
      <c r="E137"/>
      <c r="F137"/>
      <c r="G137"/>
      <c r="H137"/>
      <c r="I137"/>
    </row>
    <row r="138" spans="1:9" x14ac:dyDescent="0.25">
      <c r="A138"/>
      <c r="B138"/>
      <c r="C138"/>
      <c r="D138" s="10"/>
      <c r="E138"/>
      <c r="F138"/>
      <c r="G138"/>
      <c r="H138"/>
      <c r="I138"/>
    </row>
    <row r="139" spans="1:9" x14ac:dyDescent="0.25">
      <c r="A139"/>
      <c r="B139"/>
      <c r="C139"/>
      <c r="D139" s="10"/>
      <c r="E139"/>
      <c r="F139"/>
      <c r="G139"/>
      <c r="H139"/>
      <c r="I139"/>
    </row>
    <row r="140" spans="1:9" x14ac:dyDescent="0.25">
      <c r="A140"/>
      <c r="B140"/>
      <c r="C140"/>
      <c r="D140" s="10"/>
      <c r="E140"/>
      <c r="F140"/>
      <c r="G140"/>
      <c r="H140"/>
      <c r="I140"/>
    </row>
    <row r="141" spans="1:9" x14ac:dyDescent="0.25">
      <c r="A141"/>
      <c r="B141"/>
      <c r="C141"/>
      <c r="D141" s="10"/>
      <c r="E141"/>
      <c r="F141"/>
      <c r="G141"/>
      <c r="H141"/>
      <c r="I141"/>
    </row>
    <row r="142" spans="1:9" x14ac:dyDescent="0.25">
      <c r="A142"/>
      <c r="B142"/>
      <c r="C142"/>
      <c r="D142" s="10"/>
      <c r="E142"/>
      <c r="F142"/>
      <c r="G142"/>
      <c r="H142"/>
      <c r="I142"/>
    </row>
    <row r="143" spans="1:9" x14ac:dyDescent="0.25">
      <c r="A143"/>
      <c r="B143"/>
      <c r="C143"/>
      <c r="D143" s="10"/>
      <c r="E143"/>
      <c r="F143"/>
      <c r="G143"/>
      <c r="H143"/>
      <c r="I143"/>
    </row>
    <row r="144" spans="1:9" x14ac:dyDescent="0.25">
      <c r="A144"/>
      <c r="B144"/>
      <c r="C144"/>
      <c r="D144" s="10"/>
      <c r="E144"/>
      <c r="F144"/>
      <c r="G144"/>
      <c r="H144"/>
      <c r="I144"/>
    </row>
    <row r="145" spans="1:9" x14ac:dyDescent="0.25">
      <c r="A145"/>
      <c r="B145"/>
      <c r="C145"/>
      <c r="D145" s="10"/>
      <c r="E145"/>
      <c r="F145"/>
      <c r="G145"/>
      <c r="H145"/>
      <c r="I145"/>
    </row>
    <row r="146" spans="1:9" x14ac:dyDescent="0.25">
      <c r="A146"/>
      <c r="B146"/>
      <c r="C146"/>
      <c r="D146" s="10"/>
      <c r="E146"/>
      <c r="F146"/>
      <c r="G146"/>
      <c r="H146"/>
      <c r="I146"/>
    </row>
    <row r="147" spans="1:9" x14ac:dyDescent="0.25">
      <c r="A147"/>
      <c r="B147"/>
      <c r="C147"/>
      <c r="D147" s="10"/>
      <c r="E147"/>
      <c r="F147"/>
      <c r="G147"/>
      <c r="H147"/>
      <c r="I147"/>
    </row>
    <row r="148" spans="1:9" x14ac:dyDescent="0.25">
      <c r="A148"/>
      <c r="B148"/>
      <c r="C148"/>
      <c r="D148" s="10"/>
      <c r="E148"/>
      <c r="F148"/>
      <c r="G148"/>
      <c r="H148"/>
      <c r="I148"/>
    </row>
    <row r="149" spans="1:9" x14ac:dyDescent="0.25">
      <c r="A149"/>
      <c r="B149"/>
      <c r="C149"/>
      <c r="D149" s="10"/>
      <c r="E149"/>
      <c r="F149"/>
      <c r="G149"/>
      <c r="H149"/>
      <c r="I149"/>
    </row>
    <row r="150" spans="1:9" x14ac:dyDescent="0.25">
      <c r="A150"/>
      <c r="B150"/>
      <c r="C150"/>
      <c r="D150" s="10"/>
      <c r="E150"/>
      <c r="F150"/>
      <c r="G150"/>
      <c r="H150"/>
      <c r="I150"/>
    </row>
    <row r="151" spans="1:9" x14ac:dyDescent="0.25">
      <c r="A151"/>
      <c r="B151"/>
      <c r="C151"/>
      <c r="D151" s="10"/>
      <c r="E151"/>
      <c r="F151"/>
      <c r="G151"/>
      <c r="H151"/>
      <c r="I151"/>
    </row>
    <row r="152" spans="1:9" x14ac:dyDescent="0.25">
      <c r="A152"/>
      <c r="B152"/>
      <c r="C152"/>
      <c r="D152" s="10"/>
      <c r="E152"/>
      <c r="F152"/>
      <c r="G152"/>
      <c r="H152"/>
      <c r="I152"/>
    </row>
    <row r="153" spans="1:9" x14ac:dyDescent="0.25">
      <c r="A153"/>
      <c r="B153"/>
      <c r="C153"/>
      <c r="D153" s="10"/>
      <c r="E153"/>
      <c r="F153"/>
      <c r="G153"/>
      <c r="H153"/>
      <c r="I153"/>
    </row>
    <row r="154" spans="1:9" x14ac:dyDescent="0.25">
      <c r="A154"/>
      <c r="B154"/>
      <c r="C154"/>
      <c r="D154" s="10"/>
      <c r="E154"/>
      <c r="F154"/>
      <c r="G154"/>
      <c r="H154"/>
      <c r="I154"/>
    </row>
    <row r="155" spans="1:9" x14ac:dyDescent="0.25">
      <c r="A155"/>
      <c r="B155"/>
      <c r="C155"/>
      <c r="D155" s="10"/>
      <c r="E155"/>
      <c r="F155"/>
      <c r="G155"/>
      <c r="H155"/>
      <c r="I155"/>
    </row>
    <row r="156" spans="1:9" x14ac:dyDescent="0.25">
      <c r="A156"/>
      <c r="B156"/>
      <c r="C156"/>
      <c r="D156" s="10"/>
      <c r="E156"/>
      <c r="F156"/>
      <c r="G156"/>
      <c r="H156"/>
      <c r="I156"/>
    </row>
    <row r="157" spans="1:9" x14ac:dyDescent="0.25">
      <c r="A157"/>
      <c r="B157"/>
      <c r="C157"/>
      <c r="D157" s="10"/>
      <c r="E157"/>
      <c r="F157"/>
      <c r="G157"/>
      <c r="H157"/>
      <c r="I157"/>
    </row>
    <row r="158" spans="1:9" x14ac:dyDescent="0.25">
      <c r="A158"/>
      <c r="B158"/>
      <c r="C158"/>
      <c r="D158" s="10"/>
      <c r="E158"/>
      <c r="F158"/>
      <c r="G158"/>
      <c r="H158"/>
      <c r="I158"/>
    </row>
    <row r="159" spans="1:9" x14ac:dyDescent="0.25">
      <c r="A159"/>
      <c r="B159"/>
      <c r="C159"/>
      <c r="D159" s="10"/>
      <c r="E159"/>
      <c r="F159"/>
      <c r="G159"/>
      <c r="H159"/>
      <c r="I159"/>
    </row>
    <row r="160" spans="1:9" x14ac:dyDescent="0.25">
      <c r="A160"/>
      <c r="B160"/>
      <c r="C160"/>
      <c r="D160" s="10"/>
      <c r="E160"/>
      <c r="F160"/>
      <c r="G160"/>
      <c r="H160"/>
      <c r="I160"/>
    </row>
    <row r="161" spans="1:9" x14ac:dyDescent="0.25">
      <c r="A161"/>
      <c r="B161"/>
      <c r="C161"/>
      <c r="D161" s="10"/>
      <c r="E161"/>
      <c r="F161"/>
      <c r="G161"/>
      <c r="H161"/>
      <c r="I161"/>
    </row>
    <row r="162" spans="1:9" x14ac:dyDescent="0.25">
      <c r="A162"/>
      <c r="B162"/>
      <c r="C162"/>
      <c r="D162" s="10"/>
      <c r="E162"/>
      <c r="F162"/>
      <c r="G162"/>
      <c r="H162"/>
      <c r="I162"/>
    </row>
    <row r="163" spans="1:9" x14ac:dyDescent="0.25">
      <c r="A163"/>
      <c r="B163"/>
      <c r="C163"/>
      <c r="D163" s="10"/>
      <c r="E163"/>
      <c r="F163"/>
      <c r="G163"/>
      <c r="H163"/>
      <c r="I163"/>
    </row>
    <row r="164" spans="1:9" x14ac:dyDescent="0.25">
      <c r="A164"/>
      <c r="B164"/>
      <c r="C164"/>
      <c r="D164" s="10"/>
      <c r="E164"/>
      <c r="F164"/>
      <c r="G164"/>
      <c r="H164"/>
      <c r="I164"/>
    </row>
    <row r="165" spans="1:9" x14ac:dyDescent="0.25">
      <c r="A165"/>
      <c r="B165"/>
      <c r="C165"/>
      <c r="D165" s="10"/>
      <c r="E165"/>
      <c r="F165"/>
      <c r="G165"/>
      <c r="H165"/>
      <c r="I165"/>
    </row>
    <row r="166" spans="1:9" x14ac:dyDescent="0.25">
      <c r="A166"/>
      <c r="B166"/>
      <c r="C166"/>
      <c r="D166" s="10"/>
      <c r="E166"/>
      <c r="F166"/>
      <c r="G166"/>
      <c r="H166"/>
      <c r="I166"/>
    </row>
    <row r="167" spans="1:9" x14ac:dyDescent="0.25">
      <c r="A167"/>
      <c r="B167"/>
      <c r="C167"/>
      <c r="D167" s="10"/>
      <c r="E167"/>
      <c r="F167"/>
      <c r="G167"/>
      <c r="H167"/>
      <c r="I167"/>
    </row>
    <row r="168" spans="1:9" x14ac:dyDescent="0.25">
      <c r="A168"/>
      <c r="B168"/>
      <c r="C168"/>
      <c r="D168" s="10"/>
      <c r="E168"/>
      <c r="F168"/>
      <c r="G168"/>
      <c r="H168"/>
      <c r="I168"/>
    </row>
    <row r="169" spans="1:9" x14ac:dyDescent="0.25">
      <c r="A169"/>
      <c r="B169"/>
      <c r="C169"/>
      <c r="D169" s="10"/>
      <c r="E169"/>
      <c r="F169"/>
      <c r="G169"/>
      <c r="H169"/>
      <c r="I169"/>
    </row>
    <row r="170" spans="1:9" x14ac:dyDescent="0.25">
      <c r="A170"/>
      <c r="B170"/>
      <c r="C170"/>
      <c r="D170" s="10"/>
      <c r="E170"/>
      <c r="F170"/>
      <c r="G170"/>
      <c r="H170"/>
      <c r="I170"/>
    </row>
    <row r="171" spans="1:9" x14ac:dyDescent="0.25">
      <c r="A171"/>
      <c r="B171"/>
      <c r="C171"/>
      <c r="D171" s="10"/>
      <c r="E171"/>
      <c r="F171"/>
      <c r="G171"/>
      <c r="H171"/>
      <c r="I171"/>
    </row>
    <row r="172" spans="1:9" x14ac:dyDescent="0.25">
      <c r="A172"/>
      <c r="B172"/>
      <c r="C172"/>
      <c r="D172" s="10"/>
      <c r="E172"/>
      <c r="F172"/>
      <c r="G172"/>
      <c r="H172"/>
      <c r="I172"/>
    </row>
    <row r="173" spans="1:9" x14ac:dyDescent="0.25">
      <c r="A173"/>
      <c r="B173"/>
      <c r="C173"/>
      <c r="D173" s="10"/>
      <c r="E173"/>
      <c r="F173"/>
      <c r="G173"/>
      <c r="H173"/>
      <c r="I173"/>
    </row>
    <row r="174" spans="1:9" x14ac:dyDescent="0.25">
      <c r="A174"/>
      <c r="B174"/>
      <c r="C174"/>
      <c r="D174" s="10"/>
      <c r="E174"/>
      <c r="F174"/>
      <c r="G174"/>
      <c r="H174"/>
      <c r="I174"/>
    </row>
    <row r="175" spans="1:9" x14ac:dyDescent="0.25">
      <c r="A175"/>
      <c r="B175"/>
      <c r="C175"/>
      <c r="D175" s="10"/>
      <c r="E175"/>
      <c r="F175"/>
      <c r="G175"/>
      <c r="H175"/>
      <c r="I175"/>
    </row>
    <row r="176" spans="1:9" x14ac:dyDescent="0.25">
      <c r="A176"/>
      <c r="B176"/>
      <c r="C176"/>
      <c r="D176" s="10"/>
      <c r="E176"/>
      <c r="F176"/>
      <c r="G176"/>
      <c r="H176"/>
      <c r="I176"/>
    </row>
    <row r="177" spans="1:9" x14ac:dyDescent="0.25">
      <c r="A177"/>
      <c r="B177"/>
      <c r="C177"/>
      <c r="D177" s="10"/>
      <c r="E177"/>
      <c r="F177"/>
      <c r="G177"/>
      <c r="H177"/>
      <c r="I177"/>
    </row>
    <row r="178" spans="1:9" x14ac:dyDescent="0.25">
      <c r="A178"/>
      <c r="B178"/>
      <c r="C178"/>
      <c r="D178" s="10"/>
      <c r="E178"/>
      <c r="F178"/>
      <c r="G178"/>
      <c r="H178"/>
      <c r="I178"/>
    </row>
    <row r="179" spans="1:9" x14ac:dyDescent="0.25">
      <c r="A179"/>
      <c r="B179"/>
      <c r="C179"/>
      <c r="D179" s="10"/>
      <c r="E179"/>
      <c r="F179"/>
      <c r="G179"/>
      <c r="H179"/>
      <c r="I179"/>
    </row>
    <row r="180" spans="1:9" x14ac:dyDescent="0.25">
      <c r="A180"/>
      <c r="B180"/>
      <c r="C180"/>
      <c r="D180" s="10"/>
      <c r="E180"/>
      <c r="F180"/>
      <c r="G180"/>
      <c r="H180"/>
      <c r="I180"/>
    </row>
    <row r="181" spans="1:9" x14ac:dyDescent="0.25">
      <c r="A181"/>
      <c r="B181"/>
      <c r="C181"/>
      <c r="D181" s="10"/>
      <c r="E181"/>
      <c r="F181"/>
      <c r="G181"/>
      <c r="H181"/>
      <c r="I181"/>
    </row>
    <row r="182" spans="1:9" x14ac:dyDescent="0.25">
      <c r="A182"/>
      <c r="B182"/>
      <c r="C182"/>
      <c r="D182" s="10"/>
      <c r="E182"/>
      <c r="F182"/>
      <c r="G182"/>
      <c r="H182"/>
      <c r="I182"/>
    </row>
    <row r="183" spans="1:9" x14ac:dyDescent="0.25">
      <c r="A183"/>
      <c r="B183"/>
      <c r="C183"/>
      <c r="D183" s="10"/>
      <c r="E183"/>
      <c r="F183"/>
      <c r="G183"/>
      <c r="H183"/>
      <c r="I183"/>
    </row>
    <row r="184" spans="1:9" x14ac:dyDescent="0.25">
      <c r="A184"/>
      <c r="B184"/>
      <c r="C184"/>
      <c r="D184" s="10"/>
      <c r="E184"/>
      <c r="F184"/>
      <c r="G184"/>
      <c r="H184"/>
      <c r="I184"/>
    </row>
    <row r="185" spans="1:9" x14ac:dyDescent="0.25">
      <c r="A185"/>
      <c r="B185"/>
      <c r="C185"/>
      <c r="D185" s="10"/>
      <c r="E185"/>
      <c r="F185"/>
      <c r="G185"/>
      <c r="H185"/>
      <c r="I185"/>
    </row>
    <row r="186" spans="1:9" x14ac:dyDescent="0.25">
      <c r="A186"/>
      <c r="B186"/>
      <c r="C186"/>
      <c r="D186" s="10"/>
      <c r="E186"/>
      <c r="F186"/>
      <c r="G186"/>
      <c r="H186"/>
      <c r="I186"/>
    </row>
    <row r="187" spans="1:9" x14ac:dyDescent="0.25">
      <c r="A187"/>
      <c r="B187"/>
      <c r="C187"/>
      <c r="D187" s="10"/>
      <c r="E187"/>
      <c r="F187"/>
      <c r="G187"/>
      <c r="H187"/>
      <c r="I187"/>
    </row>
    <row r="188" spans="1:9" x14ac:dyDescent="0.25">
      <c r="A188"/>
      <c r="B188"/>
      <c r="C188"/>
      <c r="D188" s="10"/>
      <c r="E188"/>
      <c r="F188"/>
      <c r="G188"/>
      <c r="H188"/>
      <c r="I188"/>
    </row>
    <row r="189" spans="1:9" x14ac:dyDescent="0.25">
      <c r="A189"/>
      <c r="B189"/>
      <c r="C189"/>
      <c r="D189" s="10"/>
      <c r="E189"/>
      <c r="F189"/>
      <c r="G189"/>
      <c r="H189"/>
      <c r="I189"/>
    </row>
    <row r="190" spans="1:9" x14ac:dyDescent="0.25">
      <c r="A190"/>
      <c r="B190"/>
      <c r="C190"/>
      <c r="D190" s="10"/>
      <c r="E190"/>
      <c r="F190"/>
      <c r="G190"/>
      <c r="H190"/>
      <c r="I190"/>
    </row>
    <row r="191" spans="1:9" x14ac:dyDescent="0.25">
      <c r="A191"/>
      <c r="B191"/>
      <c r="C191"/>
      <c r="D191" s="10"/>
      <c r="E191"/>
      <c r="F191"/>
      <c r="G191"/>
      <c r="H191"/>
      <c r="I191"/>
    </row>
    <row r="192" spans="1:9" x14ac:dyDescent="0.25">
      <c r="A192"/>
      <c r="B192"/>
      <c r="C192"/>
      <c r="D192" s="10"/>
      <c r="E192"/>
      <c r="F192"/>
      <c r="G192"/>
      <c r="H192"/>
      <c r="I192"/>
    </row>
    <row r="193" spans="1:9" x14ac:dyDescent="0.25">
      <c r="A193"/>
      <c r="B193"/>
      <c r="C193"/>
      <c r="D193" s="10"/>
      <c r="E193"/>
      <c r="F193"/>
      <c r="G193"/>
      <c r="H193"/>
      <c r="I193"/>
    </row>
    <row r="194" spans="1:9" x14ac:dyDescent="0.25">
      <c r="A194"/>
      <c r="B194"/>
      <c r="C194"/>
      <c r="D194" s="10"/>
      <c r="E194"/>
      <c r="F194"/>
      <c r="G194"/>
      <c r="H194"/>
      <c r="I194"/>
    </row>
    <row r="195" spans="1:9" x14ac:dyDescent="0.25">
      <c r="A195"/>
      <c r="B195"/>
      <c r="C195"/>
      <c r="D195" s="10"/>
      <c r="E195"/>
      <c r="F195"/>
      <c r="G195"/>
      <c r="H195"/>
      <c r="I195"/>
    </row>
    <row r="196" spans="1:9" x14ac:dyDescent="0.25">
      <c r="A196"/>
      <c r="B196"/>
      <c r="C196"/>
      <c r="D196" s="10"/>
      <c r="E196"/>
      <c r="F196"/>
      <c r="G196"/>
      <c r="H196"/>
      <c r="I196"/>
    </row>
    <row r="197" spans="1:9" x14ac:dyDescent="0.25">
      <c r="A197"/>
      <c r="B197"/>
      <c r="C197"/>
      <c r="D197" s="10"/>
      <c r="E197"/>
      <c r="F197"/>
      <c r="G197"/>
      <c r="H197"/>
      <c r="I197"/>
    </row>
    <row r="198" spans="1:9" x14ac:dyDescent="0.25">
      <c r="A198"/>
      <c r="B198"/>
      <c r="C198"/>
      <c r="D198" s="10"/>
      <c r="E198"/>
      <c r="F198"/>
      <c r="G198"/>
      <c r="H198"/>
      <c r="I198"/>
    </row>
    <row r="199" spans="1:9" x14ac:dyDescent="0.25">
      <c r="A199"/>
      <c r="B199"/>
      <c r="C199"/>
      <c r="D199" s="10"/>
      <c r="E199"/>
      <c r="F199"/>
      <c r="G199"/>
      <c r="H199"/>
      <c r="I199"/>
    </row>
    <row r="200" spans="1:9" x14ac:dyDescent="0.25">
      <c r="A200"/>
      <c r="B200"/>
      <c r="C200"/>
      <c r="D200" s="10"/>
      <c r="E200"/>
      <c r="F200"/>
      <c r="G200"/>
      <c r="H200"/>
      <c r="I200"/>
    </row>
    <row r="201" spans="1:9" x14ac:dyDescent="0.25">
      <c r="A201"/>
      <c r="B201"/>
      <c r="C201"/>
      <c r="D201" s="10"/>
      <c r="E201"/>
      <c r="F201"/>
      <c r="G201"/>
      <c r="H201"/>
      <c r="I201"/>
    </row>
    <row r="2205" spans="4:4" s="195" customFormat="1" hidden="1" x14ac:dyDescent="0.25">
      <c r="D2205" s="190"/>
    </row>
    <row r="2231" spans="4:4" s="195" customFormat="1" ht="12.75" customHeight="1" x14ac:dyDescent="0.25">
      <c r="D2231" s="190"/>
    </row>
    <row r="4477" spans="4:4" s="195" customFormat="1" hidden="1" x14ac:dyDescent="0.25">
      <c r="D4477" s="190"/>
    </row>
    <row r="4507" spans="4:4" s="195" customFormat="1" hidden="1" x14ac:dyDescent="0.25">
      <c r="D4507" s="190"/>
    </row>
    <row r="4581" spans="4:4" s="195" customFormat="1" hidden="1" x14ac:dyDescent="0.25">
      <c r="D4581" s="190"/>
    </row>
    <row r="4632" spans="4:4" s="195" customFormat="1" hidden="1" x14ac:dyDescent="0.25">
      <c r="D4632" s="190"/>
    </row>
    <row r="4685" spans="4:4" s="195" customFormat="1" hidden="1" x14ac:dyDescent="0.25">
      <c r="D4685" s="190"/>
    </row>
  </sheetData>
  <sheetProtection algorithmName="SHA-512" hashValue="QSJd6bvOpFhfwJB5kjp8PYWprjaw9s3l/nyOmJk0tJFATMxJm5D4kDsmkLhcWgvIEB8HaXFvRb5q6JedqTot7Q==" saltValue="/Bwul4hMTUf3YWV1Y/5pNw==" spinCount="100000" sheet="1" objects="1" scenarios="1"/>
  <pageMargins left="0.7" right="0.7" top="0.78740157499999996" bottom="0.78740157499999996" header="0.3" footer="0.3"/>
  <pageSetup paperSize="9" scale="95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21"/>
  <sheetViews>
    <sheetView tabSelected="1" view="pageBreakPreview" zoomScale="85" zoomScaleNormal="100" zoomScaleSheetLayoutView="85" workbookViewId="0">
      <selection activeCell="F3" sqref="F3"/>
    </sheetView>
  </sheetViews>
  <sheetFormatPr defaultRowHeight="13.2" x14ac:dyDescent="0.25"/>
  <cols>
    <col min="2" max="2" width="88.6640625" customWidth="1"/>
    <col min="3" max="3" width="10" bestFit="1" customWidth="1"/>
    <col min="4" max="4" width="5.44140625" bestFit="1" customWidth="1"/>
    <col min="5" max="5" width="10.6640625" style="84" customWidth="1"/>
    <col min="6" max="6" width="15.6640625" style="84" customWidth="1"/>
    <col min="7" max="7" width="10.6640625" style="84" customWidth="1"/>
    <col min="8" max="8" width="15.6640625" style="84" customWidth="1"/>
    <col min="256" max="256" width="88.6640625" customWidth="1"/>
    <col min="257" max="257" width="10" bestFit="1" customWidth="1"/>
    <col min="258" max="258" width="5.44140625" bestFit="1" customWidth="1"/>
    <col min="259" max="259" width="20.109375" customWidth="1"/>
    <col min="260" max="260" width="10.6640625" customWidth="1"/>
    <col min="261" max="262" width="15.6640625" customWidth="1"/>
    <col min="263" max="263" width="10.6640625" customWidth="1"/>
    <col min="264" max="264" width="15.6640625" customWidth="1"/>
    <col min="512" max="512" width="88.6640625" customWidth="1"/>
    <col min="513" max="513" width="10" bestFit="1" customWidth="1"/>
    <col min="514" max="514" width="5.44140625" bestFit="1" customWidth="1"/>
    <col min="515" max="515" width="20.109375" customWidth="1"/>
    <col min="516" max="516" width="10.6640625" customWidth="1"/>
    <col min="517" max="518" width="15.6640625" customWidth="1"/>
    <col min="519" max="519" width="10.6640625" customWidth="1"/>
    <col min="520" max="520" width="15.6640625" customWidth="1"/>
    <col min="768" max="768" width="88.6640625" customWidth="1"/>
    <col min="769" max="769" width="10" bestFit="1" customWidth="1"/>
    <col min="770" max="770" width="5.44140625" bestFit="1" customWidth="1"/>
    <col min="771" max="771" width="20.109375" customWidth="1"/>
    <col min="772" max="772" width="10.6640625" customWidth="1"/>
    <col min="773" max="774" width="15.6640625" customWidth="1"/>
    <col min="775" max="775" width="10.6640625" customWidth="1"/>
    <col min="776" max="776" width="15.6640625" customWidth="1"/>
    <col min="1024" max="1024" width="88.6640625" customWidth="1"/>
    <col min="1025" max="1025" width="10" bestFit="1" customWidth="1"/>
    <col min="1026" max="1026" width="5.44140625" bestFit="1" customWidth="1"/>
    <col min="1027" max="1027" width="20.109375" customWidth="1"/>
    <col min="1028" max="1028" width="10.6640625" customWidth="1"/>
    <col min="1029" max="1030" width="15.6640625" customWidth="1"/>
    <col min="1031" max="1031" width="10.6640625" customWidth="1"/>
    <col min="1032" max="1032" width="15.6640625" customWidth="1"/>
    <col min="1280" max="1280" width="88.6640625" customWidth="1"/>
    <col min="1281" max="1281" width="10" bestFit="1" customWidth="1"/>
    <col min="1282" max="1282" width="5.44140625" bestFit="1" customWidth="1"/>
    <col min="1283" max="1283" width="20.109375" customWidth="1"/>
    <col min="1284" max="1284" width="10.6640625" customWidth="1"/>
    <col min="1285" max="1286" width="15.6640625" customWidth="1"/>
    <col min="1287" max="1287" width="10.6640625" customWidth="1"/>
    <col min="1288" max="1288" width="15.6640625" customWidth="1"/>
    <col min="1536" max="1536" width="88.6640625" customWidth="1"/>
    <col min="1537" max="1537" width="10" bestFit="1" customWidth="1"/>
    <col min="1538" max="1538" width="5.44140625" bestFit="1" customWidth="1"/>
    <col min="1539" max="1539" width="20.109375" customWidth="1"/>
    <col min="1540" max="1540" width="10.6640625" customWidth="1"/>
    <col min="1541" max="1542" width="15.6640625" customWidth="1"/>
    <col min="1543" max="1543" width="10.6640625" customWidth="1"/>
    <col min="1544" max="1544" width="15.6640625" customWidth="1"/>
    <col min="1792" max="1792" width="88.6640625" customWidth="1"/>
    <col min="1793" max="1793" width="10" bestFit="1" customWidth="1"/>
    <col min="1794" max="1794" width="5.44140625" bestFit="1" customWidth="1"/>
    <col min="1795" max="1795" width="20.109375" customWidth="1"/>
    <col min="1796" max="1796" width="10.6640625" customWidth="1"/>
    <col min="1797" max="1798" width="15.6640625" customWidth="1"/>
    <col min="1799" max="1799" width="10.6640625" customWidth="1"/>
    <col min="1800" max="1800" width="15.6640625" customWidth="1"/>
    <col min="2048" max="2048" width="88.6640625" customWidth="1"/>
    <col min="2049" max="2049" width="10" bestFit="1" customWidth="1"/>
    <col min="2050" max="2050" width="5.44140625" bestFit="1" customWidth="1"/>
    <col min="2051" max="2051" width="20.109375" customWidth="1"/>
    <col min="2052" max="2052" width="10.6640625" customWidth="1"/>
    <col min="2053" max="2054" width="15.6640625" customWidth="1"/>
    <col min="2055" max="2055" width="10.6640625" customWidth="1"/>
    <col min="2056" max="2056" width="15.6640625" customWidth="1"/>
    <col min="2304" max="2304" width="88.6640625" customWidth="1"/>
    <col min="2305" max="2305" width="10" bestFit="1" customWidth="1"/>
    <col min="2306" max="2306" width="5.44140625" bestFit="1" customWidth="1"/>
    <col min="2307" max="2307" width="20.109375" customWidth="1"/>
    <col min="2308" max="2308" width="10.6640625" customWidth="1"/>
    <col min="2309" max="2310" width="15.6640625" customWidth="1"/>
    <col min="2311" max="2311" width="10.6640625" customWidth="1"/>
    <col min="2312" max="2312" width="15.6640625" customWidth="1"/>
    <col min="2560" max="2560" width="88.6640625" customWidth="1"/>
    <col min="2561" max="2561" width="10" bestFit="1" customWidth="1"/>
    <col min="2562" max="2562" width="5.44140625" bestFit="1" customWidth="1"/>
    <col min="2563" max="2563" width="20.109375" customWidth="1"/>
    <col min="2564" max="2564" width="10.6640625" customWidth="1"/>
    <col min="2565" max="2566" width="15.6640625" customWidth="1"/>
    <col min="2567" max="2567" width="10.6640625" customWidth="1"/>
    <col min="2568" max="2568" width="15.6640625" customWidth="1"/>
    <col min="2816" max="2816" width="88.6640625" customWidth="1"/>
    <col min="2817" max="2817" width="10" bestFit="1" customWidth="1"/>
    <col min="2818" max="2818" width="5.44140625" bestFit="1" customWidth="1"/>
    <col min="2819" max="2819" width="20.109375" customWidth="1"/>
    <col min="2820" max="2820" width="10.6640625" customWidth="1"/>
    <col min="2821" max="2822" width="15.6640625" customWidth="1"/>
    <col min="2823" max="2823" width="10.6640625" customWidth="1"/>
    <col min="2824" max="2824" width="15.6640625" customWidth="1"/>
    <col min="3072" max="3072" width="88.6640625" customWidth="1"/>
    <col min="3073" max="3073" width="10" bestFit="1" customWidth="1"/>
    <col min="3074" max="3074" width="5.44140625" bestFit="1" customWidth="1"/>
    <col min="3075" max="3075" width="20.109375" customWidth="1"/>
    <col min="3076" max="3076" width="10.6640625" customWidth="1"/>
    <col min="3077" max="3078" width="15.6640625" customWidth="1"/>
    <col min="3079" max="3079" width="10.6640625" customWidth="1"/>
    <col min="3080" max="3080" width="15.6640625" customWidth="1"/>
    <col min="3328" max="3328" width="88.6640625" customWidth="1"/>
    <col min="3329" max="3329" width="10" bestFit="1" customWidth="1"/>
    <col min="3330" max="3330" width="5.44140625" bestFit="1" customWidth="1"/>
    <col min="3331" max="3331" width="20.109375" customWidth="1"/>
    <col min="3332" max="3332" width="10.6640625" customWidth="1"/>
    <col min="3333" max="3334" width="15.6640625" customWidth="1"/>
    <col min="3335" max="3335" width="10.6640625" customWidth="1"/>
    <col min="3336" max="3336" width="15.6640625" customWidth="1"/>
    <col min="3584" max="3584" width="88.6640625" customWidth="1"/>
    <col min="3585" max="3585" width="10" bestFit="1" customWidth="1"/>
    <col min="3586" max="3586" width="5.44140625" bestFit="1" customWidth="1"/>
    <col min="3587" max="3587" width="20.109375" customWidth="1"/>
    <col min="3588" max="3588" width="10.6640625" customWidth="1"/>
    <col min="3589" max="3590" width="15.6640625" customWidth="1"/>
    <col min="3591" max="3591" width="10.6640625" customWidth="1"/>
    <col min="3592" max="3592" width="15.6640625" customWidth="1"/>
    <col min="3840" max="3840" width="88.6640625" customWidth="1"/>
    <col min="3841" max="3841" width="10" bestFit="1" customWidth="1"/>
    <col min="3842" max="3842" width="5.44140625" bestFit="1" customWidth="1"/>
    <col min="3843" max="3843" width="20.109375" customWidth="1"/>
    <col min="3844" max="3844" width="10.6640625" customWidth="1"/>
    <col min="3845" max="3846" width="15.6640625" customWidth="1"/>
    <col min="3847" max="3847" width="10.6640625" customWidth="1"/>
    <col min="3848" max="3848" width="15.6640625" customWidth="1"/>
    <col min="4096" max="4096" width="88.6640625" customWidth="1"/>
    <col min="4097" max="4097" width="10" bestFit="1" customWidth="1"/>
    <col min="4098" max="4098" width="5.44140625" bestFit="1" customWidth="1"/>
    <col min="4099" max="4099" width="20.109375" customWidth="1"/>
    <col min="4100" max="4100" width="10.6640625" customWidth="1"/>
    <col min="4101" max="4102" width="15.6640625" customWidth="1"/>
    <col min="4103" max="4103" width="10.6640625" customWidth="1"/>
    <col min="4104" max="4104" width="15.6640625" customWidth="1"/>
    <col min="4352" max="4352" width="88.6640625" customWidth="1"/>
    <col min="4353" max="4353" width="10" bestFit="1" customWidth="1"/>
    <col min="4354" max="4354" width="5.44140625" bestFit="1" customWidth="1"/>
    <col min="4355" max="4355" width="20.109375" customWidth="1"/>
    <col min="4356" max="4356" width="10.6640625" customWidth="1"/>
    <col min="4357" max="4358" width="15.6640625" customWidth="1"/>
    <col min="4359" max="4359" width="10.6640625" customWidth="1"/>
    <col min="4360" max="4360" width="15.6640625" customWidth="1"/>
    <col min="4608" max="4608" width="88.6640625" customWidth="1"/>
    <col min="4609" max="4609" width="10" bestFit="1" customWidth="1"/>
    <col min="4610" max="4610" width="5.44140625" bestFit="1" customWidth="1"/>
    <col min="4611" max="4611" width="20.109375" customWidth="1"/>
    <col min="4612" max="4612" width="10.6640625" customWidth="1"/>
    <col min="4613" max="4614" width="15.6640625" customWidth="1"/>
    <col min="4615" max="4615" width="10.6640625" customWidth="1"/>
    <col min="4616" max="4616" width="15.6640625" customWidth="1"/>
    <col min="4864" max="4864" width="88.6640625" customWidth="1"/>
    <col min="4865" max="4865" width="10" bestFit="1" customWidth="1"/>
    <col min="4866" max="4866" width="5.44140625" bestFit="1" customWidth="1"/>
    <col min="4867" max="4867" width="20.109375" customWidth="1"/>
    <col min="4868" max="4868" width="10.6640625" customWidth="1"/>
    <col min="4869" max="4870" width="15.6640625" customWidth="1"/>
    <col min="4871" max="4871" width="10.6640625" customWidth="1"/>
    <col min="4872" max="4872" width="15.6640625" customWidth="1"/>
    <col min="5120" max="5120" width="88.6640625" customWidth="1"/>
    <col min="5121" max="5121" width="10" bestFit="1" customWidth="1"/>
    <col min="5122" max="5122" width="5.44140625" bestFit="1" customWidth="1"/>
    <col min="5123" max="5123" width="20.109375" customWidth="1"/>
    <col min="5124" max="5124" width="10.6640625" customWidth="1"/>
    <col min="5125" max="5126" width="15.6640625" customWidth="1"/>
    <col min="5127" max="5127" width="10.6640625" customWidth="1"/>
    <col min="5128" max="5128" width="15.6640625" customWidth="1"/>
    <col min="5376" max="5376" width="88.6640625" customWidth="1"/>
    <col min="5377" max="5377" width="10" bestFit="1" customWidth="1"/>
    <col min="5378" max="5378" width="5.44140625" bestFit="1" customWidth="1"/>
    <col min="5379" max="5379" width="20.109375" customWidth="1"/>
    <col min="5380" max="5380" width="10.6640625" customWidth="1"/>
    <col min="5381" max="5382" width="15.6640625" customWidth="1"/>
    <col min="5383" max="5383" width="10.6640625" customWidth="1"/>
    <col min="5384" max="5384" width="15.6640625" customWidth="1"/>
    <col min="5632" max="5632" width="88.6640625" customWidth="1"/>
    <col min="5633" max="5633" width="10" bestFit="1" customWidth="1"/>
    <col min="5634" max="5634" width="5.44140625" bestFit="1" customWidth="1"/>
    <col min="5635" max="5635" width="20.109375" customWidth="1"/>
    <col min="5636" max="5636" width="10.6640625" customWidth="1"/>
    <col min="5637" max="5638" width="15.6640625" customWidth="1"/>
    <col min="5639" max="5639" width="10.6640625" customWidth="1"/>
    <col min="5640" max="5640" width="15.6640625" customWidth="1"/>
    <col min="5888" max="5888" width="88.6640625" customWidth="1"/>
    <col min="5889" max="5889" width="10" bestFit="1" customWidth="1"/>
    <col min="5890" max="5890" width="5.44140625" bestFit="1" customWidth="1"/>
    <col min="5891" max="5891" width="20.109375" customWidth="1"/>
    <col min="5892" max="5892" width="10.6640625" customWidth="1"/>
    <col min="5893" max="5894" width="15.6640625" customWidth="1"/>
    <col min="5895" max="5895" width="10.6640625" customWidth="1"/>
    <col min="5896" max="5896" width="15.6640625" customWidth="1"/>
    <col min="6144" max="6144" width="88.6640625" customWidth="1"/>
    <col min="6145" max="6145" width="10" bestFit="1" customWidth="1"/>
    <col min="6146" max="6146" width="5.44140625" bestFit="1" customWidth="1"/>
    <col min="6147" max="6147" width="20.109375" customWidth="1"/>
    <col min="6148" max="6148" width="10.6640625" customWidth="1"/>
    <col min="6149" max="6150" width="15.6640625" customWidth="1"/>
    <col min="6151" max="6151" width="10.6640625" customWidth="1"/>
    <col min="6152" max="6152" width="15.6640625" customWidth="1"/>
    <col min="6400" max="6400" width="88.6640625" customWidth="1"/>
    <col min="6401" max="6401" width="10" bestFit="1" customWidth="1"/>
    <col min="6402" max="6402" width="5.44140625" bestFit="1" customWidth="1"/>
    <col min="6403" max="6403" width="20.109375" customWidth="1"/>
    <col min="6404" max="6404" width="10.6640625" customWidth="1"/>
    <col min="6405" max="6406" width="15.6640625" customWidth="1"/>
    <col min="6407" max="6407" width="10.6640625" customWidth="1"/>
    <col min="6408" max="6408" width="15.6640625" customWidth="1"/>
    <col min="6656" max="6656" width="88.6640625" customWidth="1"/>
    <col min="6657" max="6657" width="10" bestFit="1" customWidth="1"/>
    <col min="6658" max="6658" width="5.44140625" bestFit="1" customWidth="1"/>
    <col min="6659" max="6659" width="20.109375" customWidth="1"/>
    <col min="6660" max="6660" width="10.6640625" customWidth="1"/>
    <col min="6661" max="6662" width="15.6640625" customWidth="1"/>
    <col min="6663" max="6663" width="10.6640625" customWidth="1"/>
    <col min="6664" max="6664" width="15.6640625" customWidth="1"/>
    <col min="6912" max="6912" width="88.6640625" customWidth="1"/>
    <col min="6913" max="6913" width="10" bestFit="1" customWidth="1"/>
    <col min="6914" max="6914" width="5.44140625" bestFit="1" customWidth="1"/>
    <col min="6915" max="6915" width="20.109375" customWidth="1"/>
    <col min="6916" max="6916" width="10.6640625" customWidth="1"/>
    <col min="6917" max="6918" width="15.6640625" customWidth="1"/>
    <col min="6919" max="6919" width="10.6640625" customWidth="1"/>
    <col min="6920" max="6920" width="15.6640625" customWidth="1"/>
    <col min="7168" max="7168" width="88.6640625" customWidth="1"/>
    <col min="7169" max="7169" width="10" bestFit="1" customWidth="1"/>
    <col min="7170" max="7170" width="5.44140625" bestFit="1" customWidth="1"/>
    <col min="7171" max="7171" width="20.109375" customWidth="1"/>
    <col min="7172" max="7172" width="10.6640625" customWidth="1"/>
    <col min="7173" max="7174" width="15.6640625" customWidth="1"/>
    <col min="7175" max="7175" width="10.6640625" customWidth="1"/>
    <col min="7176" max="7176" width="15.6640625" customWidth="1"/>
    <col min="7424" max="7424" width="88.6640625" customWidth="1"/>
    <col min="7425" max="7425" width="10" bestFit="1" customWidth="1"/>
    <col min="7426" max="7426" width="5.44140625" bestFit="1" customWidth="1"/>
    <col min="7427" max="7427" width="20.109375" customWidth="1"/>
    <col min="7428" max="7428" width="10.6640625" customWidth="1"/>
    <col min="7429" max="7430" width="15.6640625" customWidth="1"/>
    <col min="7431" max="7431" width="10.6640625" customWidth="1"/>
    <col min="7432" max="7432" width="15.6640625" customWidth="1"/>
    <col min="7680" max="7680" width="88.6640625" customWidth="1"/>
    <col min="7681" max="7681" width="10" bestFit="1" customWidth="1"/>
    <col min="7682" max="7682" width="5.44140625" bestFit="1" customWidth="1"/>
    <col min="7683" max="7683" width="20.109375" customWidth="1"/>
    <col min="7684" max="7684" width="10.6640625" customWidth="1"/>
    <col min="7685" max="7686" width="15.6640625" customWidth="1"/>
    <col min="7687" max="7687" width="10.6640625" customWidth="1"/>
    <col min="7688" max="7688" width="15.6640625" customWidth="1"/>
    <col min="7936" max="7936" width="88.6640625" customWidth="1"/>
    <col min="7937" max="7937" width="10" bestFit="1" customWidth="1"/>
    <col min="7938" max="7938" width="5.44140625" bestFit="1" customWidth="1"/>
    <col min="7939" max="7939" width="20.109375" customWidth="1"/>
    <col min="7940" max="7940" width="10.6640625" customWidth="1"/>
    <col min="7941" max="7942" width="15.6640625" customWidth="1"/>
    <col min="7943" max="7943" width="10.6640625" customWidth="1"/>
    <col min="7944" max="7944" width="15.6640625" customWidth="1"/>
    <col min="8192" max="8192" width="88.6640625" customWidth="1"/>
    <col min="8193" max="8193" width="10" bestFit="1" customWidth="1"/>
    <col min="8194" max="8194" width="5.44140625" bestFit="1" customWidth="1"/>
    <col min="8195" max="8195" width="20.109375" customWidth="1"/>
    <col min="8196" max="8196" width="10.6640625" customWidth="1"/>
    <col min="8197" max="8198" width="15.6640625" customWidth="1"/>
    <col min="8199" max="8199" width="10.6640625" customWidth="1"/>
    <col min="8200" max="8200" width="15.6640625" customWidth="1"/>
    <col min="8448" max="8448" width="88.6640625" customWidth="1"/>
    <col min="8449" max="8449" width="10" bestFit="1" customWidth="1"/>
    <col min="8450" max="8450" width="5.44140625" bestFit="1" customWidth="1"/>
    <col min="8451" max="8451" width="20.109375" customWidth="1"/>
    <col min="8452" max="8452" width="10.6640625" customWidth="1"/>
    <col min="8453" max="8454" width="15.6640625" customWidth="1"/>
    <col min="8455" max="8455" width="10.6640625" customWidth="1"/>
    <col min="8456" max="8456" width="15.6640625" customWidth="1"/>
    <col min="8704" max="8704" width="88.6640625" customWidth="1"/>
    <col min="8705" max="8705" width="10" bestFit="1" customWidth="1"/>
    <col min="8706" max="8706" width="5.44140625" bestFit="1" customWidth="1"/>
    <col min="8707" max="8707" width="20.109375" customWidth="1"/>
    <col min="8708" max="8708" width="10.6640625" customWidth="1"/>
    <col min="8709" max="8710" width="15.6640625" customWidth="1"/>
    <col min="8711" max="8711" width="10.6640625" customWidth="1"/>
    <col min="8712" max="8712" width="15.6640625" customWidth="1"/>
    <col min="8960" max="8960" width="88.6640625" customWidth="1"/>
    <col min="8961" max="8961" width="10" bestFit="1" customWidth="1"/>
    <col min="8962" max="8962" width="5.44140625" bestFit="1" customWidth="1"/>
    <col min="8963" max="8963" width="20.109375" customWidth="1"/>
    <col min="8964" max="8964" width="10.6640625" customWidth="1"/>
    <col min="8965" max="8966" width="15.6640625" customWidth="1"/>
    <col min="8967" max="8967" width="10.6640625" customWidth="1"/>
    <col min="8968" max="8968" width="15.6640625" customWidth="1"/>
    <col min="9216" max="9216" width="88.6640625" customWidth="1"/>
    <col min="9217" max="9217" width="10" bestFit="1" customWidth="1"/>
    <col min="9218" max="9218" width="5.44140625" bestFit="1" customWidth="1"/>
    <col min="9219" max="9219" width="20.109375" customWidth="1"/>
    <col min="9220" max="9220" width="10.6640625" customWidth="1"/>
    <col min="9221" max="9222" width="15.6640625" customWidth="1"/>
    <col min="9223" max="9223" width="10.6640625" customWidth="1"/>
    <col min="9224" max="9224" width="15.6640625" customWidth="1"/>
    <col min="9472" max="9472" width="88.6640625" customWidth="1"/>
    <col min="9473" max="9473" width="10" bestFit="1" customWidth="1"/>
    <col min="9474" max="9474" width="5.44140625" bestFit="1" customWidth="1"/>
    <col min="9475" max="9475" width="20.109375" customWidth="1"/>
    <col min="9476" max="9476" width="10.6640625" customWidth="1"/>
    <col min="9477" max="9478" width="15.6640625" customWidth="1"/>
    <col min="9479" max="9479" width="10.6640625" customWidth="1"/>
    <col min="9480" max="9480" width="15.6640625" customWidth="1"/>
    <col min="9728" max="9728" width="88.6640625" customWidth="1"/>
    <col min="9729" max="9729" width="10" bestFit="1" customWidth="1"/>
    <col min="9730" max="9730" width="5.44140625" bestFit="1" customWidth="1"/>
    <col min="9731" max="9731" width="20.109375" customWidth="1"/>
    <col min="9732" max="9732" width="10.6640625" customWidth="1"/>
    <col min="9733" max="9734" width="15.6640625" customWidth="1"/>
    <col min="9735" max="9735" width="10.6640625" customWidth="1"/>
    <col min="9736" max="9736" width="15.6640625" customWidth="1"/>
    <col min="9984" max="9984" width="88.6640625" customWidth="1"/>
    <col min="9985" max="9985" width="10" bestFit="1" customWidth="1"/>
    <col min="9986" max="9986" width="5.44140625" bestFit="1" customWidth="1"/>
    <col min="9987" max="9987" width="20.109375" customWidth="1"/>
    <col min="9988" max="9988" width="10.6640625" customWidth="1"/>
    <col min="9989" max="9990" width="15.6640625" customWidth="1"/>
    <col min="9991" max="9991" width="10.6640625" customWidth="1"/>
    <col min="9992" max="9992" width="15.6640625" customWidth="1"/>
    <col min="10240" max="10240" width="88.6640625" customWidth="1"/>
    <col min="10241" max="10241" width="10" bestFit="1" customWidth="1"/>
    <col min="10242" max="10242" width="5.44140625" bestFit="1" customWidth="1"/>
    <col min="10243" max="10243" width="20.109375" customWidth="1"/>
    <col min="10244" max="10244" width="10.6640625" customWidth="1"/>
    <col min="10245" max="10246" width="15.6640625" customWidth="1"/>
    <col min="10247" max="10247" width="10.6640625" customWidth="1"/>
    <col min="10248" max="10248" width="15.6640625" customWidth="1"/>
    <col min="10496" max="10496" width="88.6640625" customWidth="1"/>
    <col min="10497" max="10497" width="10" bestFit="1" customWidth="1"/>
    <col min="10498" max="10498" width="5.44140625" bestFit="1" customWidth="1"/>
    <col min="10499" max="10499" width="20.109375" customWidth="1"/>
    <col min="10500" max="10500" width="10.6640625" customWidth="1"/>
    <col min="10501" max="10502" width="15.6640625" customWidth="1"/>
    <col min="10503" max="10503" width="10.6640625" customWidth="1"/>
    <col min="10504" max="10504" width="15.6640625" customWidth="1"/>
    <col min="10752" max="10752" width="88.6640625" customWidth="1"/>
    <col min="10753" max="10753" width="10" bestFit="1" customWidth="1"/>
    <col min="10754" max="10754" width="5.44140625" bestFit="1" customWidth="1"/>
    <col min="10755" max="10755" width="20.109375" customWidth="1"/>
    <col min="10756" max="10756" width="10.6640625" customWidth="1"/>
    <col min="10757" max="10758" width="15.6640625" customWidth="1"/>
    <col min="10759" max="10759" width="10.6640625" customWidth="1"/>
    <col min="10760" max="10760" width="15.6640625" customWidth="1"/>
    <col min="11008" max="11008" width="88.6640625" customWidth="1"/>
    <col min="11009" max="11009" width="10" bestFit="1" customWidth="1"/>
    <col min="11010" max="11010" width="5.44140625" bestFit="1" customWidth="1"/>
    <col min="11011" max="11011" width="20.109375" customWidth="1"/>
    <col min="11012" max="11012" width="10.6640625" customWidth="1"/>
    <col min="11013" max="11014" width="15.6640625" customWidth="1"/>
    <col min="11015" max="11015" width="10.6640625" customWidth="1"/>
    <col min="11016" max="11016" width="15.6640625" customWidth="1"/>
    <col min="11264" max="11264" width="88.6640625" customWidth="1"/>
    <col min="11265" max="11265" width="10" bestFit="1" customWidth="1"/>
    <col min="11266" max="11266" width="5.44140625" bestFit="1" customWidth="1"/>
    <col min="11267" max="11267" width="20.109375" customWidth="1"/>
    <col min="11268" max="11268" width="10.6640625" customWidth="1"/>
    <col min="11269" max="11270" width="15.6640625" customWidth="1"/>
    <col min="11271" max="11271" width="10.6640625" customWidth="1"/>
    <col min="11272" max="11272" width="15.6640625" customWidth="1"/>
    <col min="11520" max="11520" width="88.6640625" customWidth="1"/>
    <col min="11521" max="11521" width="10" bestFit="1" customWidth="1"/>
    <col min="11522" max="11522" width="5.44140625" bestFit="1" customWidth="1"/>
    <col min="11523" max="11523" width="20.109375" customWidth="1"/>
    <col min="11524" max="11524" width="10.6640625" customWidth="1"/>
    <col min="11525" max="11526" width="15.6640625" customWidth="1"/>
    <col min="11527" max="11527" width="10.6640625" customWidth="1"/>
    <col min="11528" max="11528" width="15.6640625" customWidth="1"/>
    <col min="11776" max="11776" width="88.6640625" customWidth="1"/>
    <col min="11777" max="11777" width="10" bestFit="1" customWidth="1"/>
    <col min="11778" max="11778" width="5.44140625" bestFit="1" customWidth="1"/>
    <col min="11779" max="11779" width="20.109375" customWidth="1"/>
    <col min="11780" max="11780" width="10.6640625" customWidth="1"/>
    <col min="11781" max="11782" width="15.6640625" customWidth="1"/>
    <col min="11783" max="11783" width="10.6640625" customWidth="1"/>
    <col min="11784" max="11784" width="15.6640625" customWidth="1"/>
    <col min="12032" max="12032" width="88.6640625" customWidth="1"/>
    <col min="12033" max="12033" width="10" bestFit="1" customWidth="1"/>
    <col min="12034" max="12034" width="5.44140625" bestFit="1" customWidth="1"/>
    <col min="12035" max="12035" width="20.109375" customWidth="1"/>
    <col min="12036" max="12036" width="10.6640625" customWidth="1"/>
    <col min="12037" max="12038" width="15.6640625" customWidth="1"/>
    <col min="12039" max="12039" width="10.6640625" customWidth="1"/>
    <col min="12040" max="12040" width="15.6640625" customWidth="1"/>
    <col min="12288" max="12288" width="88.6640625" customWidth="1"/>
    <col min="12289" max="12289" width="10" bestFit="1" customWidth="1"/>
    <col min="12290" max="12290" width="5.44140625" bestFit="1" customWidth="1"/>
    <col min="12291" max="12291" width="20.109375" customWidth="1"/>
    <col min="12292" max="12292" width="10.6640625" customWidth="1"/>
    <col min="12293" max="12294" width="15.6640625" customWidth="1"/>
    <col min="12295" max="12295" width="10.6640625" customWidth="1"/>
    <col min="12296" max="12296" width="15.6640625" customWidth="1"/>
    <col min="12544" max="12544" width="88.6640625" customWidth="1"/>
    <col min="12545" max="12545" width="10" bestFit="1" customWidth="1"/>
    <col min="12546" max="12546" width="5.44140625" bestFit="1" customWidth="1"/>
    <col min="12547" max="12547" width="20.109375" customWidth="1"/>
    <col min="12548" max="12548" width="10.6640625" customWidth="1"/>
    <col min="12549" max="12550" width="15.6640625" customWidth="1"/>
    <col min="12551" max="12551" width="10.6640625" customWidth="1"/>
    <col min="12552" max="12552" width="15.6640625" customWidth="1"/>
    <col min="12800" max="12800" width="88.6640625" customWidth="1"/>
    <col min="12801" max="12801" width="10" bestFit="1" customWidth="1"/>
    <col min="12802" max="12802" width="5.44140625" bestFit="1" customWidth="1"/>
    <col min="12803" max="12803" width="20.109375" customWidth="1"/>
    <col min="12804" max="12804" width="10.6640625" customWidth="1"/>
    <col min="12805" max="12806" width="15.6640625" customWidth="1"/>
    <col min="12807" max="12807" width="10.6640625" customWidth="1"/>
    <col min="12808" max="12808" width="15.6640625" customWidth="1"/>
    <col min="13056" max="13056" width="88.6640625" customWidth="1"/>
    <col min="13057" max="13057" width="10" bestFit="1" customWidth="1"/>
    <col min="13058" max="13058" width="5.44140625" bestFit="1" customWidth="1"/>
    <col min="13059" max="13059" width="20.109375" customWidth="1"/>
    <col min="13060" max="13060" width="10.6640625" customWidth="1"/>
    <col min="13061" max="13062" width="15.6640625" customWidth="1"/>
    <col min="13063" max="13063" width="10.6640625" customWidth="1"/>
    <col min="13064" max="13064" width="15.6640625" customWidth="1"/>
    <col min="13312" max="13312" width="88.6640625" customWidth="1"/>
    <col min="13313" max="13313" width="10" bestFit="1" customWidth="1"/>
    <col min="13314" max="13314" width="5.44140625" bestFit="1" customWidth="1"/>
    <col min="13315" max="13315" width="20.109375" customWidth="1"/>
    <col min="13316" max="13316" width="10.6640625" customWidth="1"/>
    <col min="13317" max="13318" width="15.6640625" customWidth="1"/>
    <col min="13319" max="13319" width="10.6640625" customWidth="1"/>
    <col min="13320" max="13320" width="15.6640625" customWidth="1"/>
    <col min="13568" max="13568" width="88.6640625" customWidth="1"/>
    <col min="13569" max="13569" width="10" bestFit="1" customWidth="1"/>
    <col min="13570" max="13570" width="5.44140625" bestFit="1" customWidth="1"/>
    <col min="13571" max="13571" width="20.109375" customWidth="1"/>
    <col min="13572" max="13572" width="10.6640625" customWidth="1"/>
    <col min="13573" max="13574" width="15.6640625" customWidth="1"/>
    <col min="13575" max="13575" width="10.6640625" customWidth="1"/>
    <col min="13576" max="13576" width="15.6640625" customWidth="1"/>
    <col min="13824" max="13824" width="88.6640625" customWidth="1"/>
    <col min="13825" max="13825" width="10" bestFit="1" customWidth="1"/>
    <col min="13826" max="13826" width="5.44140625" bestFit="1" customWidth="1"/>
    <col min="13827" max="13827" width="20.109375" customWidth="1"/>
    <col min="13828" max="13828" width="10.6640625" customWidth="1"/>
    <col min="13829" max="13830" width="15.6640625" customWidth="1"/>
    <col min="13831" max="13831" width="10.6640625" customWidth="1"/>
    <col min="13832" max="13832" width="15.6640625" customWidth="1"/>
    <col min="14080" max="14080" width="88.6640625" customWidth="1"/>
    <col min="14081" max="14081" width="10" bestFit="1" customWidth="1"/>
    <col min="14082" max="14082" width="5.44140625" bestFit="1" customWidth="1"/>
    <col min="14083" max="14083" width="20.109375" customWidth="1"/>
    <col min="14084" max="14084" width="10.6640625" customWidth="1"/>
    <col min="14085" max="14086" width="15.6640625" customWidth="1"/>
    <col min="14087" max="14087" width="10.6640625" customWidth="1"/>
    <col min="14088" max="14088" width="15.6640625" customWidth="1"/>
    <col min="14336" max="14336" width="88.6640625" customWidth="1"/>
    <col min="14337" max="14337" width="10" bestFit="1" customWidth="1"/>
    <col min="14338" max="14338" width="5.44140625" bestFit="1" customWidth="1"/>
    <col min="14339" max="14339" width="20.109375" customWidth="1"/>
    <col min="14340" max="14340" width="10.6640625" customWidth="1"/>
    <col min="14341" max="14342" width="15.6640625" customWidth="1"/>
    <col min="14343" max="14343" width="10.6640625" customWidth="1"/>
    <col min="14344" max="14344" width="15.6640625" customWidth="1"/>
    <col min="14592" max="14592" width="88.6640625" customWidth="1"/>
    <col min="14593" max="14593" width="10" bestFit="1" customWidth="1"/>
    <col min="14594" max="14594" width="5.44140625" bestFit="1" customWidth="1"/>
    <col min="14595" max="14595" width="20.109375" customWidth="1"/>
    <col min="14596" max="14596" width="10.6640625" customWidth="1"/>
    <col min="14597" max="14598" width="15.6640625" customWidth="1"/>
    <col min="14599" max="14599" width="10.6640625" customWidth="1"/>
    <col min="14600" max="14600" width="15.6640625" customWidth="1"/>
    <col min="14848" max="14848" width="88.6640625" customWidth="1"/>
    <col min="14849" max="14849" width="10" bestFit="1" customWidth="1"/>
    <col min="14850" max="14850" width="5.44140625" bestFit="1" customWidth="1"/>
    <col min="14851" max="14851" width="20.109375" customWidth="1"/>
    <col min="14852" max="14852" width="10.6640625" customWidth="1"/>
    <col min="14853" max="14854" width="15.6640625" customWidth="1"/>
    <col min="14855" max="14855" width="10.6640625" customWidth="1"/>
    <col min="14856" max="14856" width="15.6640625" customWidth="1"/>
    <col min="15104" max="15104" width="88.6640625" customWidth="1"/>
    <col min="15105" max="15105" width="10" bestFit="1" customWidth="1"/>
    <col min="15106" max="15106" width="5.44140625" bestFit="1" customWidth="1"/>
    <col min="15107" max="15107" width="20.109375" customWidth="1"/>
    <col min="15108" max="15108" width="10.6640625" customWidth="1"/>
    <col min="15109" max="15110" width="15.6640625" customWidth="1"/>
    <col min="15111" max="15111" width="10.6640625" customWidth="1"/>
    <col min="15112" max="15112" width="15.6640625" customWidth="1"/>
    <col min="15360" max="15360" width="88.6640625" customWidth="1"/>
    <col min="15361" max="15361" width="10" bestFit="1" customWidth="1"/>
    <col min="15362" max="15362" width="5.44140625" bestFit="1" customWidth="1"/>
    <col min="15363" max="15363" width="20.109375" customWidth="1"/>
    <col min="15364" max="15364" width="10.6640625" customWidth="1"/>
    <col min="15365" max="15366" width="15.6640625" customWidth="1"/>
    <col min="15367" max="15367" width="10.6640625" customWidth="1"/>
    <col min="15368" max="15368" width="15.6640625" customWidth="1"/>
    <col min="15616" max="15616" width="88.6640625" customWidth="1"/>
    <col min="15617" max="15617" width="10" bestFit="1" customWidth="1"/>
    <col min="15618" max="15618" width="5.44140625" bestFit="1" customWidth="1"/>
    <col min="15619" max="15619" width="20.109375" customWidth="1"/>
    <col min="15620" max="15620" width="10.6640625" customWidth="1"/>
    <col min="15621" max="15622" width="15.6640625" customWidth="1"/>
    <col min="15623" max="15623" width="10.6640625" customWidth="1"/>
    <col min="15624" max="15624" width="15.6640625" customWidth="1"/>
    <col min="15872" max="15872" width="88.6640625" customWidth="1"/>
    <col min="15873" max="15873" width="10" bestFit="1" customWidth="1"/>
    <col min="15874" max="15874" width="5.44140625" bestFit="1" customWidth="1"/>
    <col min="15875" max="15875" width="20.109375" customWidth="1"/>
    <col min="15876" max="15876" width="10.6640625" customWidth="1"/>
    <col min="15877" max="15878" width="15.6640625" customWidth="1"/>
    <col min="15879" max="15879" width="10.6640625" customWidth="1"/>
    <col min="15880" max="15880" width="15.6640625" customWidth="1"/>
    <col min="16128" max="16128" width="88.6640625" customWidth="1"/>
    <col min="16129" max="16129" width="10" bestFit="1" customWidth="1"/>
    <col min="16130" max="16130" width="5.44140625" bestFit="1" customWidth="1"/>
    <col min="16131" max="16131" width="20.109375" customWidth="1"/>
    <col min="16132" max="16132" width="10.6640625" customWidth="1"/>
    <col min="16133" max="16134" width="15.6640625" customWidth="1"/>
    <col min="16135" max="16135" width="10.6640625" customWidth="1"/>
    <col min="16136" max="16136" width="15.6640625" customWidth="1"/>
  </cols>
  <sheetData>
    <row r="1" spans="1:8" x14ac:dyDescent="0.25">
      <c r="A1" s="203" t="s">
        <v>1095</v>
      </c>
      <c r="B1" s="202" t="s">
        <v>6</v>
      </c>
      <c r="C1" s="203" t="s">
        <v>650</v>
      </c>
      <c r="D1" s="203" t="s">
        <v>651</v>
      </c>
      <c r="E1" s="245" t="s">
        <v>652</v>
      </c>
      <c r="F1" s="245" t="s">
        <v>653</v>
      </c>
      <c r="G1" s="245" t="s">
        <v>654</v>
      </c>
      <c r="H1" s="245" t="s">
        <v>655</v>
      </c>
    </row>
    <row r="2" spans="1:8" ht="15.6" x14ac:dyDescent="0.3">
      <c r="B2" s="117" t="s">
        <v>154</v>
      </c>
      <c r="C2" s="204"/>
      <c r="D2" s="204"/>
    </row>
    <row r="3" spans="1:8" ht="15.6" x14ac:dyDescent="0.3">
      <c r="B3" s="117"/>
      <c r="C3" s="204"/>
      <c r="D3" s="204"/>
      <c r="F3" s="205">
        <f>F43+F62+F64</f>
        <v>0</v>
      </c>
      <c r="G3" s="205"/>
      <c r="H3" s="205">
        <f>H43+H62+H64</f>
        <v>0</v>
      </c>
    </row>
    <row r="4" spans="1:8" ht="15.6" x14ac:dyDescent="0.3">
      <c r="B4" s="117" t="s">
        <v>656</v>
      </c>
      <c r="C4" s="204"/>
      <c r="D4" s="204"/>
    </row>
    <row r="5" spans="1:8" x14ac:dyDescent="0.25">
      <c r="A5">
        <v>1</v>
      </c>
      <c r="B5" t="s">
        <v>657</v>
      </c>
      <c r="C5">
        <v>1</v>
      </c>
      <c r="D5" t="s">
        <v>616</v>
      </c>
      <c r="E5" s="451"/>
      <c r="F5" s="84">
        <f t="shared" ref="F5:F24" si="0">C5*E5</f>
        <v>0</v>
      </c>
      <c r="G5" s="451"/>
      <c r="H5" s="84">
        <f t="shared" ref="H5:H24" si="1">C5*G5</f>
        <v>0</v>
      </c>
    </row>
    <row r="6" spans="1:8" x14ac:dyDescent="0.25">
      <c r="A6">
        <v>2</v>
      </c>
      <c r="B6" t="s">
        <v>658</v>
      </c>
      <c r="C6">
        <v>1</v>
      </c>
      <c r="D6" t="s">
        <v>616</v>
      </c>
      <c r="E6" s="451"/>
      <c r="F6" s="84">
        <f t="shared" si="0"/>
        <v>0</v>
      </c>
      <c r="G6" s="451"/>
      <c r="H6" s="84">
        <f t="shared" si="1"/>
        <v>0</v>
      </c>
    </row>
    <row r="7" spans="1:8" x14ac:dyDescent="0.25">
      <c r="A7">
        <v>3</v>
      </c>
      <c r="B7" t="s">
        <v>659</v>
      </c>
      <c r="C7">
        <v>1</v>
      </c>
      <c r="D7" t="s">
        <v>616</v>
      </c>
      <c r="E7" s="451"/>
      <c r="F7" s="84">
        <f t="shared" si="0"/>
        <v>0</v>
      </c>
      <c r="G7" s="451"/>
      <c r="H7" s="84">
        <f t="shared" si="1"/>
        <v>0</v>
      </c>
    </row>
    <row r="8" spans="1:8" x14ac:dyDescent="0.25">
      <c r="A8">
        <v>4</v>
      </c>
      <c r="B8" t="s">
        <v>660</v>
      </c>
      <c r="C8">
        <v>1</v>
      </c>
      <c r="D8" t="s">
        <v>616</v>
      </c>
      <c r="E8" s="451"/>
      <c r="F8" s="84">
        <f t="shared" si="0"/>
        <v>0</v>
      </c>
      <c r="G8" s="451"/>
      <c r="H8" s="84">
        <f t="shared" si="1"/>
        <v>0</v>
      </c>
    </row>
    <row r="9" spans="1:8" x14ac:dyDescent="0.25">
      <c r="A9">
        <v>5</v>
      </c>
      <c r="B9" t="s">
        <v>661</v>
      </c>
      <c r="C9">
        <v>4</v>
      </c>
      <c r="D9" t="s">
        <v>616</v>
      </c>
      <c r="E9" s="451"/>
      <c r="F9" s="84">
        <f t="shared" si="0"/>
        <v>0</v>
      </c>
      <c r="G9" s="451"/>
      <c r="H9" s="84">
        <f t="shared" si="1"/>
        <v>0</v>
      </c>
    </row>
    <row r="10" spans="1:8" x14ac:dyDescent="0.25">
      <c r="A10">
        <v>6</v>
      </c>
      <c r="B10" t="s">
        <v>662</v>
      </c>
      <c r="C10" s="203">
        <v>1</v>
      </c>
      <c r="D10" s="203" t="s">
        <v>616</v>
      </c>
      <c r="E10" s="451"/>
      <c r="F10" s="84">
        <f t="shared" si="0"/>
        <v>0</v>
      </c>
      <c r="G10" s="451"/>
      <c r="H10" s="84">
        <f t="shared" si="1"/>
        <v>0</v>
      </c>
    </row>
    <row r="11" spans="1:8" x14ac:dyDescent="0.25">
      <c r="A11">
        <v>7</v>
      </c>
      <c r="B11" s="203" t="s">
        <v>1094</v>
      </c>
      <c r="C11">
        <v>26</v>
      </c>
      <c r="D11" t="s">
        <v>616</v>
      </c>
      <c r="E11" s="451"/>
      <c r="F11" s="84">
        <f t="shared" si="0"/>
        <v>0</v>
      </c>
      <c r="G11" s="451"/>
      <c r="H11" s="84">
        <f t="shared" si="1"/>
        <v>0</v>
      </c>
    </row>
    <row r="12" spans="1:8" x14ac:dyDescent="0.25">
      <c r="A12">
        <v>8</v>
      </c>
      <c r="B12" t="s">
        <v>663</v>
      </c>
      <c r="C12">
        <v>6</v>
      </c>
      <c r="D12" t="s">
        <v>616</v>
      </c>
      <c r="E12" s="451"/>
      <c r="F12" s="84">
        <f t="shared" si="0"/>
        <v>0</v>
      </c>
      <c r="G12" s="451"/>
      <c r="H12" s="84">
        <f t="shared" si="1"/>
        <v>0</v>
      </c>
    </row>
    <row r="13" spans="1:8" x14ac:dyDescent="0.25">
      <c r="A13">
        <v>9</v>
      </c>
      <c r="B13" t="s">
        <v>664</v>
      </c>
      <c r="C13">
        <v>10</v>
      </c>
      <c r="D13" t="s">
        <v>616</v>
      </c>
      <c r="E13" s="451"/>
      <c r="F13" s="84">
        <f t="shared" si="0"/>
        <v>0</v>
      </c>
      <c r="G13" s="451"/>
      <c r="H13" s="84">
        <f t="shared" si="1"/>
        <v>0</v>
      </c>
    </row>
    <row r="14" spans="1:8" x14ac:dyDescent="0.25">
      <c r="A14">
        <v>10</v>
      </c>
      <c r="B14" t="s">
        <v>665</v>
      </c>
      <c r="C14">
        <v>4</v>
      </c>
      <c r="D14" t="s">
        <v>616</v>
      </c>
      <c r="E14" s="451"/>
      <c r="F14" s="84">
        <f t="shared" si="0"/>
        <v>0</v>
      </c>
      <c r="G14" s="451"/>
      <c r="H14" s="84">
        <f t="shared" si="1"/>
        <v>0</v>
      </c>
    </row>
    <row r="15" spans="1:8" x14ac:dyDescent="0.25">
      <c r="A15">
        <v>11</v>
      </c>
      <c r="B15" t="s">
        <v>666</v>
      </c>
      <c r="C15">
        <v>4</v>
      </c>
      <c r="D15" t="s">
        <v>616</v>
      </c>
      <c r="E15" s="451"/>
      <c r="F15" s="84">
        <f t="shared" si="0"/>
        <v>0</v>
      </c>
      <c r="G15" s="451"/>
      <c r="H15" s="84">
        <f t="shared" si="1"/>
        <v>0</v>
      </c>
    </row>
    <row r="16" spans="1:8" x14ac:dyDescent="0.25">
      <c r="A16">
        <v>12</v>
      </c>
      <c r="B16" t="s">
        <v>667</v>
      </c>
      <c r="C16">
        <v>4</v>
      </c>
      <c r="D16" t="s">
        <v>616</v>
      </c>
      <c r="E16" s="451"/>
      <c r="F16" s="84">
        <f t="shared" si="0"/>
        <v>0</v>
      </c>
      <c r="H16" s="84">
        <f t="shared" si="1"/>
        <v>0</v>
      </c>
    </row>
    <row r="17" spans="1:8" x14ac:dyDescent="0.25">
      <c r="A17">
        <v>13</v>
      </c>
      <c r="B17" t="s">
        <v>668</v>
      </c>
      <c r="C17">
        <v>4</v>
      </c>
      <c r="D17" t="s">
        <v>616</v>
      </c>
      <c r="E17" s="451"/>
      <c r="F17" s="84">
        <f t="shared" si="0"/>
        <v>0</v>
      </c>
      <c r="G17" s="451"/>
      <c r="H17" s="84">
        <f t="shared" si="1"/>
        <v>0</v>
      </c>
    </row>
    <row r="18" spans="1:8" x14ac:dyDescent="0.25">
      <c r="A18">
        <v>14</v>
      </c>
      <c r="B18" t="s">
        <v>669</v>
      </c>
      <c r="C18">
        <v>1</v>
      </c>
      <c r="D18" t="s">
        <v>616</v>
      </c>
      <c r="E18" s="451"/>
      <c r="F18" s="84">
        <f t="shared" si="0"/>
        <v>0</v>
      </c>
      <c r="G18" s="451"/>
      <c r="H18" s="84">
        <f t="shared" si="1"/>
        <v>0</v>
      </c>
    </row>
    <row r="19" spans="1:8" x14ac:dyDescent="0.25">
      <c r="A19">
        <v>15</v>
      </c>
      <c r="B19" t="s">
        <v>670</v>
      </c>
      <c r="C19">
        <v>2</v>
      </c>
      <c r="D19" t="s">
        <v>616</v>
      </c>
      <c r="E19" s="451"/>
      <c r="F19" s="84">
        <f t="shared" si="0"/>
        <v>0</v>
      </c>
      <c r="G19" s="451"/>
      <c r="H19" s="84">
        <f t="shared" si="1"/>
        <v>0</v>
      </c>
    </row>
    <row r="20" spans="1:8" x14ac:dyDescent="0.25">
      <c r="A20">
        <v>16</v>
      </c>
      <c r="B20" s="203" t="s">
        <v>1097</v>
      </c>
      <c r="C20">
        <v>2</v>
      </c>
      <c r="D20" t="s">
        <v>616</v>
      </c>
      <c r="E20" s="451"/>
      <c r="F20" s="84">
        <f t="shared" si="0"/>
        <v>0</v>
      </c>
      <c r="G20" s="451"/>
      <c r="H20" s="84">
        <f t="shared" si="1"/>
        <v>0</v>
      </c>
    </row>
    <row r="21" spans="1:8" ht="12.75" customHeight="1" x14ac:dyDescent="0.25">
      <c r="A21">
        <v>17</v>
      </c>
      <c r="B21" t="s">
        <v>671</v>
      </c>
      <c r="C21">
        <v>1</v>
      </c>
      <c r="D21" t="s">
        <v>616</v>
      </c>
      <c r="E21" s="451"/>
      <c r="F21" s="84">
        <f t="shared" si="0"/>
        <v>0</v>
      </c>
      <c r="G21" s="451"/>
      <c r="H21" s="84">
        <f t="shared" si="1"/>
        <v>0</v>
      </c>
    </row>
    <row r="22" spans="1:8" x14ac:dyDescent="0.25">
      <c r="A22">
        <v>18</v>
      </c>
      <c r="B22" t="s">
        <v>672</v>
      </c>
      <c r="C22">
        <v>1</v>
      </c>
      <c r="D22" t="s">
        <v>616</v>
      </c>
      <c r="E22" s="451"/>
      <c r="F22" s="84">
        <f t="shared" si="0"/>
        <v>0</v>
      </c>
      <c r="G22" s="451"/>
      <c r="H22" s="84">
        <f t="shared" si="1"/>
        <v>0</v>
      </c>
    </row>
    <row r="23" spans="1:8" x14ac:dyDescent="0.25">
      <c r="A23">
        <v>19</v>
      </c>
      <c r="B23" t="s">
        <v>673</v>
      </c>
      <c r="C23">
        <v>1</v>
      </c>
      <c r="D23" t="s">
        <v>616</v>
      </c>
      <c r="E23" s="451"/>
      <c r="F23" s="84">
        <f t="shared" si="0"/>
        <v>0</v>
      </c>
      <c r="G23" s="451"/>
      <c r="H23" s="84">
        <f t="shared" si="1"/>
        <v>0</v>
      </c>
    </row>
    <row r="24" spans="1:8" x14ac:dyDescent="0.25">
      <c r="A24">
        <v>20</v>
      </c>
      <c r="B24" t="s">
        <v>674</v>
      </c>
      <c r="C24">
        <v>2</v>
      </c>
      <c r="D24" t="s">
        <v>616</v>
      </c>
      <c r="E24" s="451"/>
      <c r="F24" s="84">
        <f t="shared" si="0"/>
        <v>0</v>
      </c>
      <c r="G24" s="451"/>
      <c r="H24" s="84">
        <f t="shared" si="1"/>
        <v>0</v>
      </c>
    </row>
    <row r="25" spans="1:8" x14ac:dyDescent="0.25">
      <c r="A25">
        <v>21</v>
      </c>
      <c r="B25" t="s">
        <v>675</v>
      </c>
      <c r="C25">
        <v>152</v>
      </c>
      <c r="D25" t="s">
        <v>192</v>
      </c>
      <c r="E25" s="451"/>
      <c r="F25" s="84">
        <f t="shared" ref="F25:F42" si="2">C25*E25</f>
        <v>0</v>
      </c>
      <c r="G25" s="451"/>
      <c r="H25" s="84">
        <f t="shared" ref="H25:H42" si="3">C25*G25</f>
        <v>0</v>
      </c>
    </row>
    <row r="26" spans="1:8" x14ac:dyDescent="0.25">
      <c r="A26">
        <v>22</v>
      </c>
      <c r="B26" t="s">
        <v>676</v>
      </c>
      <c r="C26">
        <v>112</v>
      </c>
      <c r="D26" t="s">
        <v>192</v>
      </c>
      <c r="E26" s="451"/>
      <c r="F26" s="84">
        <f t="shared" si="2"/>
        <v>0</v>
      </c>
      <c r="G26" s="451"/>
      <c r="H26" s="84">
        <f t="shared" si="3"/>
        <v>0</v>
      </c>
    </row>
    <row r="27" spans="1:8" x14ac:dyDescent="0.25">
      <c r="A27">
        <v>23</v>
      </c>
      <c r="B27" t="s">
        <v>677</v>
      </c>
      <c r="C27">
        <v>148</v>
      </c>
      <c r="D27" t="s">
        <v>192</v>
      </c>
      <c r="E27" s="451"/>
      <c r="F27" s="84">
        <f t="shared" si="2"/>
        <v>0</v>
      </c>
      <c r="G27" s="451"/>
      <c r="H27" s="84">
        <f t="shared" si="3"/>
        <v>0</v>
      </c>
    </row>
    <row r="28" spans="1:8" x14ac:dyDescent="0.25">
      <c r="A28">
        <v>24</v>
      </c>
      <c r="B28" s="247" t="s">
        <v>1098</v>
      </c>
      <c r="C28">
        <v>30</v>
      </c>
      <c r="D28" t="s">
        <v>192</v>
      </c>
      <c r="E28" s="451"/>
      <c r="F28" s="84">
        <f t="shared" si="2"/>
        <v>0</v>
      </c>
      <c r="G28" s="451"/>
      <c r="H28" s="84">
        <f t="shared" si="3"/>
        <v>0</v>
      </c>
    </row>
    <row r="29" spans="1:8" x14ac:dyDescent="0.25">
      <c r="A29">
        <v>25</v>
      </c>
      <c r="B29" t="s">
        <v>678</v>
      </c>
      <c r="C29">
        <v>124</v>
      </c>
      <c r="D29" t="s">
        <v>192</v>
      </c>
      <c r="E29" s="451"/>
      <c r="F29" s="84">
        <f t="shared" si="2"/>
        <v>0</v>
      </c>
      <c r="G29" s="451"/>
      <c r="H29" s="84">
        <f t="shared" si="3"/>
        <v>0</v>
      </c>
    </row>
    <row r="30" spans="1:8" x14ac:dyDescent="0.25">
      <c r="A30">
        <v>26</v>
      </c>
      <c r="B30" t="s">
        <v>679</v>
      </c>
      <c r="C30">
        <v>6</v>
      </c>
      <c r="D30" t="s">
        <v>192</v>
      </c>
      <c r="E30" s="451"/>
      <c r="F30" s="84">
        <f t="shared" si="2"/>
        <v>0</v>
      </c>
      <c r="G30" s="451"/>
      <c r="H30" s="84">
        <f t="shared" si="3"/>
        <v>0</v>
      </c>
    </row>
    <row r="31" spans="1:8" x14ac:dyDescent="0.25">
      <c r="A31">
        <v>27</v>
      </c>
      <c r="B31" t="s">
        <v>680</v>
      </c>
      <c r="C31">
        <v>24</v>
      </c>
      <c r="D31" t="s">
        <v>192</v>
      </c>
      <c r="E31" s="451"/>
      <c r="F31" s="84">
        <f t="shared" si="2"/>
        <v>0</v>
      </c>
      <c r="G31" s="451"/>
      <c r="H31" s="84">
        <f t="shared" si="3"/>
        <v>0</v>
      </c>
    </row>
    <row r="32" spans="1:8" x14ac:dyDescent="0.25">
      <c r="A32">
        <v>28</v>
      </c>
      <c r="B32" t="s">
        <v>681</v>
      </c>
      <c r="C32">
        <v>24</v>
      </c>
      <c r="D32" t="s">
        <v>192</v>
      </c>
      <c r="E32" s="451"/>
      <c r="F32" s="84">
        <f t="shared" si="2"/>
        <v>0</v>
      </c>
      <c r="G32" s="451"/>
      <c r="H32" s="84">
        <f t="shared" si="3"/>
        <v>0</v>
      </c>
    </row>
    <row r="33" spans="1:8" x14ac:dyDescent="0.25">
      <c r="A33">
        <v>29</v>
      </c>
      <c r="B33" t="s">
        <v>682</v>
      </c>
      <c r="C33">
        <v>9</v>
      </c>
      <c r="D33" t="s">
        <v>192</v>
      </c>
      <c r="E33" s="451"/>
      <c r="F33" s="84">
        <f t="shared" si="2"/>
        <v>0</v>
      </c>
      <c r="G33" s="451"/>
      <c r="H33" s="84">
        <f t="shared" si="3"/>
        <v>0</v>
      </c>
    </row>
    <row r="34" spans="1:8" x14ac:dyDescent="0.25">
      <c r="A34">
        <v>30</v>
      </c>
      <c r="B34" t="s">
        <v>683</v>
      </c>
      <c r="C34">
        <v>10</v>
      </c>
      <c r="D34" t="s">
        <v>192</v>
      </c>
      <c r="E34" s="451"/>
      <c r="F34" s="84">
        <f t="shared" si="2"/>
        <v>0</v>
      </c>
      <c r="G34" s="451"/>
      <c r="H34" s="84">
        <f t="shared" si="3"/>
        <v>0</v>
      </c>
    </row>
    <row r="35" spans="1:8" x14ac:dyDescent="0.25">
      <c r="A35">
        <v>31</v>
      </c>
      <c r="B35" t="s">
        <v>684</v>
      </c>
      <c r="C35">
        <v>10</v>
      </c>
      <c r="D35" t="s">
        <v>192</v>
      </c>
      <c r="E35" s="451"/>
      <c r="F35" s="84">
        <f t="shared" si="2"/>
        <v>0</v>
      </c>
      <c r="G35" s="451"/>
      <c r="H35" s="84">
        <f t="shared" si="3"/>
        <v>0</v>
      </c>
    </row>
    <row r="36" spans="1:8" x14ac:dyDescent="0.25">
      <c r="A36">
        <v>32</v>
      </c>
      <c r="B36" t="s">
        <v>685</v>
      </c>
      <c r="C36">
        <v>7</v>
      </c>
      <c r="D36" t="s">
        <v>192</v>
      </c>
      <c r="E36" s="451"/>
      <c r="F36" s="84">
        <f t="shared" si="2"/>
        <v>0</v>
      </c>
      <c r="G36" s="451"/>
      <c r="H36" s="84">
        <f t="shared" si="3"/>
        <v>0</v>
      </c>
    </row>
    <row r="37" spans="1:8" x14ac:dyDescent="0.25">
      <c r="A37">
        <v>33</v>
      </c>
      <c r="B37" t="s">
        <v>686</v>
      </c>
      <c r="C37">
        <v>11</v>
      </c>
      <c r="D37" t="s">
        <v>192</v>
      </c>
      <c r="E37" s="451"/>
      <c r="F37" s="84">
        <f t="shared" si="2"/>
        <v>0</v>
      </c>
      <c r="G37" s="451"/>
      <c r="H37" s="84">
        <f t="shared" si="3"/>
        <v>0</v>
      </c>
    </row>
    <row r="38" spans="1:8" x14ac:dyDescent="0.25">
      <c r="A38">
        <v>34</v>
      </c>
      <c r="B38" t="s">
        <v>687</v>
      </c>
      <c r="C38">
        <v>1</v>
      </c>
      <c r="D38" t="s">
        <v>688</v>
      </c>
      <c r="E38" s="451"/>
      <c r="F38" s="84">
        <f t="shared" si="2"/>
        <v>0</v>
      </c>
      <c r="G38" s="538"/>
      <c r="H38" s="84">
        <f t="shared" si="3"/>
        <v>0</v>
      </c>
    </row>
    <row r="39" spans="1:8" x14ac:dyDescent="0.25">
      <c r="A39">
        <v>35</v>
      </c>
      <c r="B39" t="s">
        <v>689</v>
      </c>
      <c r="C39">
        <v>1</v>
      </c>
      <c r="D39" t="s">
        <v>688</v>
      </c>
      <c r="E39" s="451"/>
      <c r="F39" s="84">
        <f t="shared" si="2"/>
        <v>0</v>
      </c>
      <c r="G39" s="451"/>
      <c r="H39" s="84">
        <f t="shared" si="3"/>
        <v>0</v>
      </c>
    </row>
    <row r="40" spans="1:8" x14ac:dyDescent="0.25">
      <c r="A40">
        <v>36</v>
      </c>
      <c r="B40" t="s">
        <v>690</v>
      </c>
      <c r="C40">
        <v>1</v>
      </c>
      <c r="D40" t="s">
        <v>688</v>
      </c>
      <c r="E40" s="451"/>
      <c r="F40" s="84">
        <f t="shared" si="2"/>
        <v>0</v>
      </c>
      <c r="H40" s="84">
        <f t="shared" si="3"/>
        <v>0</v>
      </c>
    </row>
    <row r="41" spans="1:8" x14ac:dyDescent="0.25">
      <c r="A41" s="539">
        <v>37</v>
      </c>
      <c r="B41" s="539" t="s">
        <v>691</v>
      </c>
      <c r="C41" s="539">
        <v>0</v>
      </c>
      <c r="D41" s="539" t="s">
        <v>688</v>
      </c>
      <c r="E41" s="540"/>
      <c r="F41" s="540">
        <f t="shared" si="2"/>
        <v>0</v>
      </c>
      <c r="G41" s="541"/>
      <c r="H41" s="540">
        <f t="shared" si="3"/>
        <v>0</v>
      </c>
    </row>
    <row r="42" spans="1:8" x14ac:dyDescent="0.25">
      <c r="A42">
        <v>38</v>
      </c>
      <c r="B42" t="s">
        <v>692</v>
      </c>
      <c r="C42">
        <v>1</v>
      </c>
      <c r="D42" t="s">
        <v>688</v>
      </c>
      <c r="E42" s="451"/>
      <c r="F42" s="84">
        <f t="shared" si="2"/>
        <v>0</v>
      </c>
      <c r="G42" s="451"/>
      <c r="H42" s="84">
        <f t="shared" si="3"/>
        <v>0</v>
      </c>
    </row>
    <row r="43" spans="1:8" x14ac:dyDescent="0.25">
      <c r="F43" s="205">
        <f>SUM(F5:F42)</f>
        <v>0</v>
      </c>
      <c r="H43" s="205">
        <f>SUM(H5:H42)</f>
        <v>0</v>
      </c>
    </row>
    <row r="45" spans="1:8" ht="15.6" x14ac:dyDescent="0.3">
      <c r="B45" s="117" t="s">
        <v>693</v>
      </c>
    </row>
    <row r="46" spans="1:8" x14ac:dyDescent="0.25">
      <c r="A46">
        <v>39</v>
      </c>
      <c r="B46" s="52" t="s">
        <v>694</v>
      </c>
      <c r="C46">
        <v>1</v>
      </c>
      <c r="D46" t="s">
        <v>616</v>
      </c>
      <c r="E46" s="452"/>
      <c r="F46" s="84">
        <f>C46*E46</f>
        <v>0</v>
      </c>
      <c r="G46" s="452"/>
      <c r="H46" s="84">
        <f>C46*G46</f>
        <v>0</v>
      </c>
    </row>
    <row r="47" spans="1:8" ht="12.75" customHeight="1" x14ac:dyDescent="0.25">
      <c r="A47">
        <v>40</v>
      </c>
      <c r="B47" t="s">
        <v>695</v>
      </c>
      <c r="C47">
        <v>1</v>
      </c>
      <c r="D47" t="s">
        <v>616</v>
      </c>
      <c r="E47" s="452"/>
      <c r="F47" s="84">
        <f>C47*E47</f>
        <v>0</v>
      </c>
      <c r="G47" s="452"/>
      <c r="H47" s="84">
        <f>C47*G47</f>
        <v>0</v>
      </c>
    </row>
    <row r="48" spans="1:8" ht="12.75" customHeight="1" x14ac:dyDescent="0.25">
      <c r="A48">
        <v>41</v>
      </c>
      <c r="B48" t="s">
        <v>696</v>
      </c>
      <c r="C48">
        <v>1</v>
      </c>
      <c r="D48" t="s">
        <v>616</v>
      </c>
      <c r="E48" s="452"/>
      <c r="F48" s="84">
        <f>C48*E48</f>
        <v>0</v>
      </c>
      <c r="G48" s="452"/>
      <c r="H48" s="84">
        <f>C48*G48</f>
        <v>0</v>
      </c>
    </row>
    <row r="49" spans="1:8" ht="12.75" customHeight="1" x14ac:dyDescent="0.25">
      <c r="A49">
        <v>42</v>
      </c>
      <c r="B49" t="s">
        <v>697</v>
      </c>
      <c r="C49">
        <v>15</v>
      </c>
      <c r="D49" t="s">
        <v>616</v>
      </c>
      <c r="E49" s="452"/>
      <c r="F49" s="84">
        <f>C49*E49</f>
        <v>0</v>
      </c>
      <c r="G49" s="452"/>
      <c r="H49" s="84">
        <f>C49*G49</f>
        <v>0</v>
      </c>
    </row>
    <row r="50" spans="1:8" ht="12.75" customHeight="1" x14ac:dyDescent="0.25">
      <c r="A50">
        <v>43</v>
      </c>
      <c r="B50" s="248" t="s">
        <v>1099</v>
      </c>
      <c r="C50">
        <v>8</v>
      </c>
      <c r="D50" t="s">
        <v>192</v>
      </c>
      <c r="E50" s="452"/>
      <c r="F50" s="84">
        <f t="shared" ref="F50:F61" si="4">C50*E50</f>
        <v>0</v>
      </c>
      <c r="G50" s="452"/>
      <c r="H50" s="84">
        <f t="shared" ref="H50:H61" si="5">C50*G50</f>
        <v>0</v>
      </c>
    </row>
    <row r="51" spans="1:8" ht="12.75" customHeight="1" x14ac:dyDescent="0.25">
      <c r="A51">
        <v>44</v>
      </c>
      <c r="B51" s="248" t="s">
        <v>1100</v>
      </c>
      <c r="C51">
        <v>8</v>
      </c>
      <c r="D51" t="s">
        <v>192</v>
      </c>
      <c r="E51" s="452"/>
      <c r="F51" s="84">
        <f t="shared" si="4"/>
        <v>0</v>
      </c>
      <c r="G51" s="452"/>
      <c r="H51" s="84">
        <f t="shared" si="5"/>
        <v>0</v>
      </c>
    </row>
    <row r="52" spans="1:8" ht="12.75" customHeight="1" x14ac:dyDescent="0.25">
      <c r="A52">
        <v>45</v>
      </c>
      <c r="B52" t="s">
        <v>676</v>
      </c>
      <c r="C52">
        <v>136</v>
      </c>
      <c r="D52" t="s">
        <v>192</v>
      </c>
      <c r="E52" s="452"/>
      <c r="F52" s="84">
        <f t="shared" si="4"/>
        <v>0</v>
      </c>
      <c r="G52" s="452"/>
      <c r="H52" s="84">
        <f t="shared" si="5"/>
        <v>0</v>
      </c>
    </row>
    <row r="53" spans="1:8" ht="12.75" customHeight="1" x14ac:dyDescent="0.25">
      <c r="A53">
        <v>46</v>
      </c>
      <c r="B53" s="249" t="s">
        <v>1098</v>
      </c>
      <c r="C53">
        <v>124</v>
      </c>
      <c r="D53" t="s">
        <v>192</v>
      </c>
      <c r="E53" s="452"/>
      <c r="F53" s="84">
        <f t="shared" si="4"/>
        <v>0</v>
      </c>
      <c r="G53" s="452"/>
      <c r="H53" s="84">
        <f t="shared" si="5"/>
        <v>0</v>
      </c>
    </row>
    <row r="54" spans="1:8" x14ac:dyDescent="0.25">
      <c r="A54">
        <v>47</v>
      </c>
      <c r="B54" t="s">
        <v>680</v>
      </c>
      <c r="C54">
        <v>8</v>
      </c>
      <c r="D54" t="s">
        <v>192</v>
      </c>
      <c r="E54" s="452"/>
      <c r="F54" s="84">
        <f t="shared" si="4"/>
        <v>0</v>
      </c>
      <c r="G54" s="452"/>
      <c r="H54" s="84">
        <f t="shared" si="5"/>
        <v>0</v>
      </c>
    </row>
    <row r="55" spans="1:8" x14ac:dyDescent="0.25">
      <c r="A55">
        <v>48</v>
      </c>
      <c r="B55" t="s">
        <v>681</v>
      </c>
      <c r="C55">
        <v>8</v>
      </c>
      <c r="D55" t="s">
        <v>192</v>
      </c>
      <c r="E55" s="452"/>
      <c r="F55" s="84">
        <f t="shared" si="4"/>
        <v>0</v>
      </c>
      <c r="G55" s="452"/>
      <c r="H55" s="84">
        <f t="shared" si="5"/>
        <v>0</v>
      </c>
    </row>
    <row r="56" spans="1:8" x14ac:dyDescent="0.25">
      <c r="A56">
        <v>49</v>
      </c>
      <c r="B56" t="s">
        <v>685</v>
      </c>
      <c r="C56">
        <v>10</v>
      </c>
      <c r="D56" t="s">
        <v>192</v>
      </c>
      <c r="E56" s="452"/>
      <c r="F56" s="84">
        <f t="shared" si="4"/>
        <v>0</v>
      </c>
      <c r="G56" s="452"/>
      <c r="H56" s="84">
        <f t="shared" si="5"/>
        <v>0</v>
      </c>
    </row>
    <row r="57" spans="1:8" x14ac:dyDescent="0.25">
      <c r="A57">
        <v>50</v>
      </c>
      <c r="B57" t="s">
        <v>686</v>
      </c>
      <c r="C57">
        <v>2</v>
      </c>
      <c r="D57" t="s">
        <v>192</v>
      </c>
      <c r="E57" s="452"/>
      <c r="F57" s="84">
        <f t="shared" si="4"/>
        <v>0</v>
      </c>
      <c r="G57" s="452"/>
      <c r="H57" s="84">
        <f t="shared" si="5"/>
        <v>0</v>
      </c>
    </row>
    <row r="58" spans="1:8" x14ac:dyDescent="0.25">
      <c r="A58">
        <v>51</v>
      </c>
      <c r="B58" t="s">
        <v>698</v>
      </c>
      <c r="C58">
        <v>2</v>
      </c>
      <c r="D58" t="s">
        <v>192</v>
      </c>
      <c r="E58" s="452"/>
      <c r="F58" s="84">
        <f t="shared" si="4"/>
        <v>0</v>
      </c>
      <c r="G58" s="452"/>
      <c r="H58" s="84">
        <f t="shared" si="5"/>
        <v>0</v>
      </c>
    </row>
    <row r="59" spans="1:8" x14ac:dyDescent="0.25">
      <c r="A59">
        <v>52</v>
      </c>
      <c r="B59" t="s">
        <v>687</v>
      </c>
      <c r="C59">
        <v>1</v>
      </c>
      <c r="D59" t="s">
        <v>688</v>
      </c>
      <c r="E59" s="452"/>
      <c r="F59" s="84">
        <f t="shared" si="4"/>
        <v>0</v>
      </c>
      <c r="H59" s="84">
        <f t="shared" si="5"/>
        <v>0</v>
      </c>
    </row>
    <row r="60" spans="1:8" x14ac:dyDescent="0.25">
      <c r="A60" s="539">
        <v>53</v>
      </c>
      <c r="B60" s="539" t="s">
        <v>691</v>
      </c>
      <c r="C60" s="539">
        <v>0</v>
      </c>
      <c r="D60" s="539" t="s">
        <v>688</v>
      </c>
      <c r="E60" s="540"/>
      <c r="F60" s="540">
        <f t="shared" si="4"/>
        <v>0</v>
      </c>
      <c r="G60" s="541"/>
      <c r="H60" s="540">
        <f t="shared" si="5"/>
        <v>0</v>
      </c>
    </row>
    <row r="61" spans="1:8" x14ac:dyDescent="0.25">
      <c r="A61">
        <v>54</v>
      </c>
      <c r="B61" t="s">
        <v>692</v>
      </c>
      <c r="C61">
        <v>1</v>
      </c>
      <c r="D61" t="s">
        <v>688</v>
      </c>
      <c r="E61" s="452"/>
      <c r="F61" s="84">
        <f t="shared" si="4"/>
        <v>0</v>
      </c>
      <c r="G61" s="452"/>
      <c r="H61" s="84">
        <f t="shared" si="5"/>
        <v>0</v>
      </c>
    </row>
    <row r="62" spans="1:8" x14ac:dyDescent="0.25">
      <c r="F62" s="205">
        <f>SUM(F46:F61)</f>
        <v>0</v>
      </c>
      <c r="H62" s="205">
        <f>SUM(H46:H61)</f>
        <v>0</v>
      </c>
    </row>
    <row r="64" spans="1:8" x14ac:dyDescent="0.25">
      <c r="A64">
        <v>55</v>
      </c>
      <c r="B64" t="s">
        <v>699</v>
      </c>
      <c r="C64">
        <v>150</v>
      </c>
      <c r="D64" t="s">
        <v>192</v>
      </c>
      <c r="F64" s="205">
        <f>E64*C64</f>
        <v>0</v>
      </c>
      <c r="G64" s="452"/>
      <c r="H64" s="205">
        <f>C64*G64</f>
        <v>0</v>
      </c>
    </row>
    <row r="78" spans="2:6" x14ac:dyDescent="0.25">
      <c r="B78" s="188"/>
      <c r="C78" s="203"/>
      <c r="F78" s="205"/>
    </row>
    <row r="79" spans="2:6" ht="15.6" x14ac:dyDescent="0.3">
      <c r="B79" s="117"/>
    </row>
    <row r="85" spans="5:5" x14ac:dyDescent="0.25">
      <c r="E85" s="246"/>
    </row>
    <row r="86" spans="5:5" x14ac:dyDescent="0.25">
      <c r="E86" s="246"/>
    </row>
    <row r="87" spans="5:5" x14ac:dyDescent="0.25">
      <c r="E87" s="246"/>
    </row>
    <row r="88" spans="5:5" x14ac:dyDescent="0.25">
      <c r="E88" s="246"/>
    </row>
    <row r="89" spans="5:5" x14ac:dyDescent="0.25">
      <c r="E89" s="246"/>
    </row>
    <row r="90" spans="5:5" x14ac:dyDescent="0.25">
      <c r="E90" s="246"/>
    </row>
    <row r="91" spans="5:5" x14ac:dyDescent="0.25">
      <c r="E91" s="246"/>
    </row>
    <row r="93" spans="5:5" x14ac:dyDescent="0.25">
      <c r="E93" s="246"/>
    </row>
    <row r="94" spans="5:5" x14ac:dyDescent="0.25">
      <c r="E94" s="246"/>
    </row>
    <row r="95" spans="5:5" x14ac:dyDescent="0.25">
      <c r="E95" s="246"/>
    </row>
    <row r="102" spans="2:6" ht="15.6" x14ac:dyDescent="0.3">
      <c r="B102" s="117"/>
    </row>
    <row r="103" spans="2:6" x14ac:dyDescent="0.25">
      <c r="B103" s="52"/>
    </row>
    <row r="104" spans="2:6" x14ac:dyDescent="0.25">
      <c r="B104" s="52"/>
    </row>
    <row r="105" spans="2:6" x14ac:dyDescent="0.25">
      <c r="B105" s="52"/>
    </row>
    <row r="106" spans="2:6" x14ac:dyDescent="0.25">
      <c r="F106" s="205"/>
    </row>
    <row r="107" spans="2:6" x14ac:dyDescent="0.25">
      <c r="B107" s="52"/>
    </row>
    <row r="108" spans="2:6" x14ac:dyDescent="0.25">
      <c r="B108" s="52"/>
    </row>
    <row r="111" spans="2:6" ht="15.6" x14ac:dyDescent="0.3">
      <c r="B111" s="117"/>
    </row>
    <row r="121" spans="2:2" ht="15.6" x14ac:dyDescent="0.3">
      <c r="B121" s="117"/>
    </row>
  </sheetData>
  <sheetProtection algorithmName="SHA-512" hashValue="WS+BydOjQea/P8AiQMm6IMe/dozhHNFAR2/9HEa3k50v95PJNWP+vJs3r9zWhquN7bFnz17xk2xJZsKRw/BLyQ==" saltValue="5BASX4G8TYLm1yR/lV38pQ==" spinCount="100000" sheet="1" objects="1" scenarios="1"/>
  <pageMargins left="0.7" right="0.7" top="0.78740157499999996" bottom="0.78740157499999996" header="0.3" footer="0.3"/>
  <pageSetup paperSize="9" scale="85" orientation="landscape" horizont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/>
  </sheetPr>
  <dimension ref="A1:BH5000"/>
  <sheetViews>
    <sheetView zoomScaleNormal="100" workbookViewId="0">
      <pane ySplit="7" topLeftCell="A8" activePane="bottomLeft" state="frozen"/>
      <selection pane="bottomLeft" activeCell="C15" sqref="C15"/>
    </sheetView>
  </sheetViews>
  <sheetFormatPr defaultRowHeight="13.2" outlineLevelRow="1" x14ac:dyDescent="0.25"/>
  <cols>
    <col min="1" max="1" width="3.44140625" customWidth="1"/>
    <col min="2" max="2" width="12.6640625" style="118" customWidth="1"/>
    <col min="3" max="3" width="38.33203125" style="118" customWidth="1"/>
    <col min="4" max="4" width="4.88671875" customWidth="1"/>
    <col min="5" max="5" width="10.6640625" customWidth="1"/>
    <col min="6" max="6" width="9.88671875" customWidth="1"/>
    <col min="7" max="7" width="12.66406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524" t="s">
        <v>7</v>
      </c>
      <c r="B1" s="524"/>
      <c r="C1" s="524"/>
      <c r="D1" s="524"/>
      <c r="E1" s="524"/>
      <c r="F1" s="524"/>
      <c r="G1" s="524"/>
      <c r="AG1" t="s">
        <v>113</v>
      </c>
    </row>
    <row r="2" spans="1:60" ht="25.2" customHeight="1" x14ac:dyDescent="0.25">
      <c r="A2" s="137" t="s">
        <v>8</v>
      </c>
      <c r="B2" s="49" t="s">
        <v>41</v>
      </c>
      <c r="C2" s="525" t="s">
        <v>42</v>
      </c>
      <c r="D2" s="526"/>
      <c r="E2" s="526"/>
      <c r="F2" s="526"/>
      <c r="G2" s="527"/>
      <c r="AG2" t="s">
        <v>114</v>
      </c>
    </row>
    <row r="3" spans="1:60" ht="25.2" customHeight="1" x14ac:dyDescent="0.25">
      <c r="A3" s="137" t="s">
        <v>9</v>
      </c>
      <c r="B3" s="49" t="s">
        <v>41</v>
      </c>
      <c r="C3" s="525" t="s">
        <v>44</v>
      </c>
      <c r="D3" s="526"/>
      <c r="E3" s="526"/>
      <c r="F3" s="526"/>
      <c r="G3" s="527"/>
      <c r="AC3" s="118" t="s">
        <v>114</v>
      </c>
      <c r="AG3" t="s">
        <v>115</v>
      </c>
    </row>
    <row r="4" spans="1:60" ht="25.2" customHeight="1" x14ac:dyDescent="0.25">
      <c r="A4" s="138" t="s">
        <v>10</v>
      </c>
      <c r="B4" s="139" t="s">
        <v>47</v>
      </c>
      <c r="C4" s="528" t="s">
        <v>48</v>
      </c>
      <c r="D4" s="529"/>
      <c r="E4" s="529"/>
      <c r="F4" s="529"/>
      <c r="G4" s="530"/>
      <c r="AG4" t="s">
        <v>116</v>
      </c>
    </row>
    <row r="5" spans="1:60" x14ac:dyDescent="0.25">
      <c r="D5" s="10"/>
    </row>
    <row r="6" spans="1:60" ht="39.6" x14ac:dyDescent="0.25">
      <c r="A6" s="141" t="s">
        <v>117</v>
      </c>
      <c r="B6" s="143" t="s">
        <v>118</v>
      </c>
      <c r="C6" s="143" t="s">
        <v>119</v>
      </c>
      <c r="D6" s="142" t="s">
        <v>120</v>
      </c>
      <c r="E6" s="141" t="s">
        <v>121</v>
      </c>
      <c r="F6" s="140" t="s">
        <v>122</v>
      </c>
      <c r="G6" s="141" t="s">
        <v>31</v>
      </c>
      <c r="H6" s="144" t="s">
        <v>32</v>
      </c>
      <c r="I6" s="144" t="s">
        <v>123</v>
      </c>
      <c r="J6" s="144" t="s">
        <v>33</v>
      </c>
      <c r="K6" s="144" t="s">
        <v>124</v>
      </c>
      <c r="L6" s="144" t="s">
        <v>125</v>
      </c>
      <c r="M6" s="144" t="s">
        <v>126</v>
      </c>
      <c r="N6" s="144" t="s">
        <v>127</v>
      </c>
      <c r="O6" s="144" t="s">
        <v>128</v>
      </c>
      <c r="P6" s="144" t="s">
        <v>129</v>
      </c>
      <c r="Q6" s="144" t="s">
        <v>130</v>
      </c>
      <c r="R6" s="144" t="s">
        <v>131</v>
      </c>
      <c r="S6" s="144" t="s">
        <v>132</v>
      </c>
      <c r="T6" s="144" t="s">
        <v>133</v>
      </c>
      <c r="U6" s="144" t="s">
        <v>134</v>
      </c>
      <c r="V6" s="144" t="s">
        <v>135</v>
      </c>
      <c r="W6" s="144" t="s">
        <v>136</v>
      </c>
      <c r="X6" s="144" t="s">
        <v>137</v>
      </c>
      <c r="Y6" s="144" t="s">
        <v>138</v>
      </c>
    </row>
    <row r="7" spans="1:60" hidden="1" x14ac:dyDescent="0.25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x14ac:dyDescent="0.25">
      <c r="A8" s="159" t="s">
        <v>139</v>
      </c>
      <c r="B8" s="160" t="s">
        <v>109</v>
      </c>
      <c r="C8" s="178" t="s">
        <v>110</v>
      </c>
      <c r="D8" s="161"/>
      <c r="E8" s="162"/>
      <c r="F8" s="163"/>
      <c r="G8" s="164">
        <f>SUMIF(AG9:AG25,"&lt;&gt;NOR",G9:G25)</f>
        <v>0</v>
      </c>
      <c r="H8" s="158"/>
      <c r="I8" s="158">
        <f>SUM(I9:I25)</f>
        <v>0</v>
      </c>
      <c r="J8" s="158"/>
      <c r="K8" s="158">
        <f>SUM(K9:K25)</f>
        <v>336761.1</v>
      </c>
      <c r="L8" s="158"/>
      <c r="M8" s="158">
        <f>SUM(M9:M25)</f>
        <v>0</v>
      </c>
      <c r="N8" s="157"/>
      <c r="O8" s="157">
        <f>SUM(O9:O25)</f>
        <v>0</v>
      </c>
      <c r="P8" s="157"/>
      <c r="Q8" s="157">
        <f>SUM(Q9:Q25)</f>
        <v>0</v>
      </c>
      <c r="R8" s="158"/>
      <c r="S8" s="158"/>
      <c r="T8" s="158"/>
      <c r="U8" s="158"/>
      <c r="V8" s="158">
        <f>SUM(V9:V25)</f>
        <v>0</v>
      </c>
      <c r="W8" s="158"/>
      <c r="X8" s="158"/>
      <c r="Y8" s="158"/>
      <c r="AG8" t="s">
        <v>140</v>
      </c>
    </row>
    <row r="9" spans="1:60" outlineLevel="1" x14ac:dyDescent="0.25">
      <c r="A9" s="172">
        <v>1</v>
      </c>
      <c r="B9" s="173" t="s">
        <v>159</v>
      </c>
      <c r="C9" s="179" t="s">
        <v>160</v>
      </c>
      <c r="D9" s="174" t="s">
        <v>161</v>
      </c>
      <c r="E9" s="175">
        <v>1</v>
      </c>
      <c r="F9" s="176"/>
      <c r="G9" s="177">
        <f t="shared" ref="G9:G25" si="0">ROUND(E9*F9,2)</f>
        <v>0</v>
      </c>
      <c r="H9" s="156">
        <v>0</v>
      </c>
      <c r="I9" s="155">
        <f t="shared" ref="I9:I25" si="1">ROUND(E9*H9,2)</f>
        <v>0</v>
      </c>
      <c r="J9" s="156">
        <v>760</v>
      </c>
      <c r="K9" s="155">
        <f t="shared" ref="K9:K25" si="2">ROUND(E9*J9,2)</f>
        <v>760</v>
      </c>
      <c r="L9" s="155">
        <v>21</v>
      </c>
      <c r="M9" s="155">
        <f t="shared" ref="M9:M25" si="3">G9*(1+L9/100)</f>
        <v>0</v>
      </c>
      <c r="N9" s="154">
        <v>0</v>
      </c>
      <c r="O9" s="154">
        <f t="shared" ref="O9:O25" si="4">ROUND(E9*N9,2)</f>
        <v>0</v>
      </c>
      <c r="P9" s="154">
        <v>0</v>
      </c>
      <c r="Q9" s="154">
        <f t="shared" ref="Q9:Q25" si="5">ROUND(E9*P9,2)</f>
        <v>0</v>
      </c>
      <c r="R9" s="155"/>
      <c r="S9" s="155" t="s">
        <v>144</v>
      </c>
      <c r="T9" s="155" t="s">
        <v>145</v>
      </c>
      <c r="U9" s="155">
        <v>0</v>
      </c>
      <c r="V9" s="155">
        <f t="shared" ref="V9:V25" si="6">ROUND(E9*U9,2)</f>
        <v>0</v>
      </c>
      <c r="W9" s="155"/>
      <c r="X9" s="155" t="s">
        <v>146</v>
      </c>
      <c r="Y9" s="155" t="s">
        <v>147</v>
      </c>
      <c r="Z9" s="145"/>
      <c r="AA9" s="145"/>
      <c r="AB9" s="145"/>
      <c r="AC9" s="145"/>
      <c r="AD9" s="145"/>
      <c r="AE9" s="145"/>
      <c r="AF9" s="145"/>
      <c r="AG9" s="145" t="s">
        <v>148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5">
      <c r="A10" s="172">
        <v>2</v>
      </c>
      <c r="B10" s="173" t="s">
        <v>162</v>
      </c>
      <c r="C10" s="179" t="s">
        <v>163</v>
      </c>
      <c r="D10" s="174" t="s">
        <v>161</v>
      </c>
      <c r="E10" s="175">
        <v>1</v>
      </c>
      <c r="F10" s="176"/>
      <c r="G10" s="177">
        <f t="shared" si="0"/>
        <v>0</v>
      </c>
      <c r="H10" s="156">
        <v>0</v>
      </c>
      <c r="I10" s="155">
        <f t="shared" si="1"/>
        <v>0</v>
      </c>
      <c r="J10" s="156">
        <v>1873</v>
      </c>
      <c r="K10" s="155">
        <f t="shared" si="2"/>
        <v>1873</v>
      </c>
      <c r="L10" s="155">
        <v>21</v>
      </c>
      <c r="M10" s="155">
        <f t="shared" si="3"/>
        <v>0</v>
      </c>
      <c r="N10" s="154">
        <v>0</v>
      </c>
      <c r="O10" s="154">
        <f t="shared" si="4"/>
        <v>0</v>
      </c>
      <c r="P10" s="154">
        <v>0</v>
      </c>
      <c r="Q10" s="154">
        <f t="shared" si="5"/>
        <v>0</v>
      </c>
      <c r="R10" s="155"/>
      <c r="S10" s="155" t="s">
        <v>144</v>
      </c>
      <c r="T10" s="155" t="s">
        <v>145</v>
      </c>
      <c r="U10" s="155">
        <v>0</v>
      </c>
      <c r="V10" s="155">
        <f t="shared" si="6"/>
        <v>0</v>
      </c>
      <c r="W10" s="155"/>
      <c r="X10" s="155" t="s">
        <v>146</v>
      </c>
      <c r="Y10" s="155" t="s">
        <v>147</v>
      </c>
      <c r="Z10" s="145"/>
      <c r="AA10" s="145"/>
      <c r="AB10" s="145"/>
      <c r="AC10" s="145"/>
      <c r="AD10" s="145"/>
      <c r="AE10" s="145"/>
      <c r="AF10" s="145"/>
      <c r="AG10" s="145" t="s">
        <v>148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5">
      <c r="A11" s="172">
        <v>3</v>
      </c>
      <c r="B11" s="173" t="s">
        <v>164</v>
      </c>
      <c r="C11" s="179" t="s">
        <v>165</v>
      </c>
      <c r="D11" s="174" t="s">
        <v>161</v>
      </c>
      <c r="E11" s="175">
        <v>1</v>
      </c>
      <c r="F11" s="176"/>
      <c r="G11" s="177">
        <f t="shared" si="0"/>
        <v>0</v>
      </c>
      <c r="H11" s="156">
        <v>0</v>
      </c>
      <c r="I11" s="155">
        <f t="shared" si="1"/>
        <v>0</v>
      </c>
      <c r="J11" s="156">
        <v>610</v>
      </c>
      <c r="K11" s="155">
        <f t="shared" si="2"/>
        <v>610</v>
      </c>
      <c r="L11" s="155">
        <v>21</v>
      </c>
      <c r="M11" s="155">
        <f t="shared" si="3"/>
        <v>0</v>
      </c>
      <c r="N11" s="154">
        <v>0</v>
      </c>
      <c r="O11" s="154">
        <f t="shared" si="4"/>
        <v>0</v>
      </c>
      <c r="P11" s="154">
        <v>0</v>
      </c>
      <c r="Q11" s="154">
        <f t="shared" si="5"/>
        <v>0</v>
      </c>
      <c r="R11" s="155"/>
      <c r="S11" s="155" t="s">
        <v>144</v>
      </c>
      <c r="T11" s="155" t="s">
        <v>145</v>
      </c>
      <c r="U11" s="155">
        <v>0</v>
      </c>
      <c r="V11" s="155">
        <f t="shared" si="6"/>
        <v>0</v>
      </c>
      <c r="W11" s="155"/>
      <c r="X11" s="155" t="s">
        <v>146</v>
      </c>
      <c r="Y11" s="155" t="s">
        <v>147</v>
      </c>
      <c r="Z11" s="145"/>
      <c r="AA11" s="145"/>
      <c r="AB11" s="145"/>
      <c r="AC11" s="145"/>
      <c r="AD11" s="145"/>
      <c r="AE11" s="145"/>
      <c r="AF11" s="145"/>
      <c r="AG11" s="145" t="s">
        <v>148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5">
      <c r="A12" s="172">
        <v>4</v>
      </c>
      <c r="B12" s="173" t="s">
        <v>166</v>
      </c>
      <c r="C12" s="179" t="s">
        <v>167</v>
      </c>
      <c r="D12" s="174" t="s">
        <v>161</v>
      </c>
      <c r="E12" s="175">
        <v>1</v>
      </c>
      <c r="F12" s="176"/>
      <c r="G12" s="177">
        <f t="shared" si="0"/>
        <v>0</v>
      </c>
      <c r="H12" s="156">
        <v>0</v>
      </c>
      <c r="I12" s="155">
        <f t="shared" si="1"/>
        <v>0</v>
      </c>
      <c r="J12" s="156">
        <v>300</v>
      </c>
      <c r="K12" s="155">
        <f t="shared" si="2"/>
        <v>300</v>
      </c>
      <c r="L12" s="155">
        <v>21</v>
      </c>
      <c r="M12" s="155">
        <f t="shared" si="3"/>
        <v>0</v>
      </c>
      <c r="N12" s="154">
        <v>0</v>
      </c>
      <c r="O12" s="154">
        <f t="shared" si="4"/>
        <v>0</v>
      </c>
      <c r="P12" s="154">
        <v>0</v>
      </c>
      <c r="Q12" s="154">
        <f t="shared" si="5"/>
        <v>0</v>
      </c>
      <c r="R12" s="155"/>
      <c r="S12" s="155" t="s">
        <v>144</v>
      </c>
      <c r="T12" s="155" t="s">
        <v>145</v>
      </c>
      <c r="U12" s="155">
        <v>0</v>
      </c>
      <c r="V12" s="155">
        <f t="shared" si="6"/>
        <v>0</v>
      </c>
      <c r="W12" s="155"/>
      <c r="X12" s="155" t="s">
        <v>146</v>
      </c>
      <c r="Y12" s="155" t="s">
        <v>147</v>
      </c>
      <c r="Z12" s="145"/>
      <c r="AA12" s="145"/>
      <c r="AB12" s="145"/>
      <c r="AC12" s="145"/>
      <c r="AD12" s="145"/>
      <c r="AE12" s="145"/>
      <c r="AF12" s="145"/>
      <c r="AG12" s="145" t="s">
        <v>148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5">
      <c r="A13" s="172">
        <v>5</v>
      </c>
      <c r="B13" s="173" t="s">
        <v>168</v>
      </c>
      <c r="C13" s="179" t="s">
        <v>169</v>
      </c>
      <c r="D13" s="174" t="s">
        <v>161</v>
      </c>
      <c r="E13" s="175">
        <v>1</v>
      </c>
      <c r="F13" s="176"/>
      <c r="G13" s="177">
        <f t="shared" si="0"/>
        <v>0</v>
      </c>
      <c r="H13" s="156">
        <v>0</v>
      </c>
      <c r="I13" s="155">
        <f t="shared" si="1"/>
        <v>0</v>
      </c>
      <c r="J13" s="156">
        <v>260</v>
      </c>
      <c r="K13" s="155">
        <f t="shared" si="2"/>
        <v>260</v>
      </c>
      <c r="L13" s="155">
        <v>21</v>
      </c>
      <c r="M13" s="155">
        <f t="shared" si="3"/>
        <v>0</v>
      </c>
      <c r="N13" s="154">
        <v>0</v>
      </c>
      <c r="O13" s="154">
        <f t="shared" si="4"/>
        <v>0</v>
      </c>
      <c r="P13" s="154">
        <v>0</v>
      </c>
      <c r="Q13" s="154">
        <f t="shared" si="5"/>
        <v>0</v>
      </c>
      <c r="R13" s="155"/>
      <c r="S13" s="155" t="s">
        <v>144</v>
      </c>
      <c r="T13" s="155" t="s">
        <v>145</v>
      </c>
      <c r="U13" s="155">
        <v>0</v>
      </c>
      <c r="V13" s="155">
        <f t="shared" si="6"/>
        <v>0</v>
      </c>
      <c r="W13" s="155"/>
      <c r="X13" s="155" t="s">
        <v>146</v>
      </c>
      <c r="Y13" s="155" t="s">
        <v>147</v>
      </c>
      <c r="Z13" s="145"/>
      <c r="AA13" s="145"/>
      <c r="AB13" s="145"/>
      <c r="AC13" s="145"/>
      <c r="AD13" s="145"/>
      <c r="AE13" s="145"/>
      <c r="AF13" s="145"/>
      <c r="AG13" s="145" t="s">
        <v>148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5">
      <c r="A14" s="172">
        <v>6</v>
      </c>
      <c r="B14" s="173" t="s">
        <v>170</v>
      </c>
      <c r="C14" s="179" t="s">
        <v>171</v>
      </c>
      <c r="D14" s="174" t="s">
        <v>161</v>
      </c>
      <c r="E14" s="175">
        <v>1</v>
      </c>
      <c r="F14" s="176"/>
      <c r="G14" s="177">
        <f t="shared" si="0"/>
        <v>0</v>
      </c>
      <c r="H14" s="156">
        <v>0</v>
      </c>
      <c r="I14" s="155">
        <f t="shared" si="1"/>
        <v>0</v>
      </c>
      <c r="J14" s="156">
        <v>1852</v>
      </c>
      <c r="K14" s="155">
        <f t="shared" si="2"/>
        <v>1852</v>
      </c>
      <c r="L14" s="155">
        <v>21</v>
      </c>
      <c r="M14" s="155">
        <f t="shared" si="3"/>
        <v>0</v>
      </c>
      <c r="N14" s="154">
        <v>0</v>
      </c>
      <c r="O14" s="154">
        <f t="shared" si="4"/>
        <v>0</v>
      </c>
      <c r="P14" s="154">
        <v>0</v>
      </c>
      <c r="Q14" s="154">
        <f t="shared" si="5"/>
        <v>0</v>
      </c>
      <c r="R14" s="155"/>
      <c r="S14" s="155" t="s">
        <v>144</v>
      </c>
      <c r="T14" s="155" t="s">
        <v>145</v>
      </c>
      <c r="U14" s="155">
        <v>0</v>
      </c>
      <c r="V14" s="155">
        <f t="shared" si="6"/>
        <v>0</v>
      </c>
      <c r="W14" s="155"/>
      <c r="X14" s="155" t="s">
        <v>146</v>
      </c>
      <c r="Y14" s="155" t="s">
        <v>147</v>
      </c>
      <c r="Z14" s="145"/>
      <c r="AA14" s="145"/>
      <c r="AB14" s="145"/>
      <c r="AC14" s="145"/>
      <c r="AD14" s="145"/>
      <c r="AE14" s="145"/>
      <c r="AF14" s="145"/>
      <c r="AG14" s="145" t="s">
        <v>148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5">
      <c r="A15" s="172">
        <v>7</v>
      </c>
      <c r="B15" s="173" t="s">
        <v>172</v>
      </c>
      <c r="C15" s="179" t="s">
        <v>173</v>
      </c>
      <c r="D15" s="174" t="s">
        <v>161</v>
      </c>
      <c r="E15" s="175">
        <v>1</v>
      </c>
      <c r="F15" s="176"/>
      <c r="G15" s="177">
        <f t="shared" si="0"/>
        <v>0</v>
      </c>
      <c r="H15" s="156">
        <v>0</v>
      </c>
      <c r="I15" s="155">
        <f t="shared" si="1"/>
        <v>0</v>
      </c>
      <c r="J15" s="156">
        <v>9500</v>
      </c>
      <c r="K15" s="155">
        <f t="shared" si="2"/>
        <v>9500</v>
      </c>
      <c r="L15" s="155">
        <v>21</v>
      </c>
      <c r="M15" s="155">
        <f t="shared" si="3"/>
        <v>0</v>
      </c>
      <c r="N15" s="154">
        <v>0</v>
      </c>
      <c r="O15" s="154">
        <f t="shared" si="4"/>
        <v>0</v>
      </c>
      <c r="P15" s="154">
        <v>0</v>
      </c>
      <c r="Q15" s="154">
        <f t="shared" si="5"/>
        <v>0</v>
      </c>
      <c r="R15" s="155"/>
      <c r="S15" s="155" t="s">
        <v>144</v>
      </c>
      <c r="T15" s="155" t="s">
        <v>145</v>
      </c>
      <c r="U15" s="155">
        <v>0</v>
      </c>
      <c r="V15" s="155">
        <f t="shared" si="6"/>
        <v>0</v>
      </c>
      <c r="W15" s="155"/>
      <c r="X15" s="155" t="s">
        <v>146</v>
      </c>
      <c r="Y15" s="155" t="s">
        <v>147</v>
      </c>
      <c r="Z15" s="145"/>
      <c r="AA15" s="145"/>
      <c r="AB15" s="145"/>
      <c r="AC15" s="145"/>
      <c r="AD15" s="145"/>
      <c r="AE15" s="145"/>
      <c r="AF15" s="145"/>
      <c r="AG15" s="145" t="s">
        <v>148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5">
      <c r="A16" s="172">
        <v>8</v>
      </c>
      <c r="B16" s="173" t="s">
        <v>174</v>
      </c>
      <c r="C16" s="179" t="s">
        <v>175</v>
      </c>
      <c r="D16" s="174" t="s">
        <v>161</v>
      </c>
      <c r="E16" s="175">
        <v>1</v>
      </c>
      <c r="F16" s="176"/>
      <c r="G16" s="177">
        <f t="shared" si="0"/>
        <v>0</v>
      </c>
      <c r="H16" s="156">
        <v>0</v>
      </c>
      <c r="I16" s="155">
        <f t="shared" si="1"/>
        <v>0</v>
      </c>
      <c r="J16" s="156">
        <v>45000</v>
      </c>
      <c r="K16" s="155">
        <f t="shared" si="2"/>
        <v>45000</v>
      </c>
      <c r="L16" s="155">
        <v>21</v>
      </c>
      <c r="M16" s="155">
        <f t="shared" si="3"/>
        <v>0</v>
      </c>
      <c r="N16" s="154">
        <v>0</v>
      </c>
      <c r="O16" s="154">
        <f t="shared" si="4"/>
        <v>0</v>
      </c>
      <c r="P16" s="154">
        <v>0</v>
      </c>
      <c r="Q16" s="154">
        <f t="shared" si="5"/>
        <v>0</v>
      </c>
      <c r="R16" s="155"/>
      <c r="S16" s="155" t="s">
        <v>144</v>
      </c>
      <c r="T16" s="155" t="s">
        <v>145</v>
      </c>
      <c r="U16" s="155">
        <v>0</v>
      </c>
      <c r="V16" s="155">
        <f t="shared" si="6"/>
        <v>0</v>
      </c>
      <c r="W16" s="155"/>
      <c r="X16" s="155" t="s">
        <v>146</v>
      </c>
      <c r="Y16" s="155" t="s">
        <v>147</v>
      </c>
      <c r="Z16" s="145"/>
      <c r="AA16" s="145"/>
      <c r="AB16" s="145"/>
      <c r="AC16" s="145"/>
      <c r="AD16" s="145"/>
      <c r="AE16" s="145"/>
      <c r="AF16" s="145"/>
      <c r="AG16" s="145" t="s">
        <v>148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ht="20.399999999999999" outlineLevel="1" x14ac:dyDescent="0.25">
      <c r="A17" s="172">
        <v>9</v>
      </c>
      <c r="B17" s="173" t="s">
        <v>176</v>
      </c>
      <c r="C17" s="179" t="s">
        <v>177</v>
      </c>
      <c r="D17" s="174" t="s">
        <v>161</v>
      </c>
      <c r="E17" s="175">
        <v>2</v>
      </c>
      <c r="F17" s="176"/>
      <c r="G17" s="177">
        <f t="shared" si="0"/>
        <v>0</v>
      </c>
      <c r="H17" s="156">
        <v>0</v>
      </c>
      <c r="I17" s="155">
        <f t="shared" si="1"/>
        <v>0</v>
      </c>
      <c r="J17" s="156">
        <v>2300</v>
      </c>
      <c r="K17" s="155">
        <f t="shared" si="2"/>
        <v>4600</v>
      </c>
      <c r="L17" s="155">
        <v>21</v>
      </c>
      <c r="M17" s="155">
        <f t="shared" si="3"/>
        <v>0</v>
      </c>
      <c r="N17" s="154">
        <v>0</v>
      </c>
      <c r="O17" s="154">
        <f t="shared" si="4"/>
        <v>0</v>
      </c>
      <c r="P17" s="154">
        <v>0</v>
      </c>
      <c r="Q17" s="154">
        <f t="shared" si="5"/>
        <v>0</v>
      </c>
      <c r="R17" s="155"/>
      <c r="S17" s="155" t="s">
        <v>144</v>
      </c>
      <c r="T17" s="155" t="s">
        <v>145</v>
      </c>
      <c r="U17" s="155">
        <v>0</v>
      </c>
      <c r="V17" s="155">
        <f t="shared" si="6"/>
        <v>0</v>
      </c>
      <c r="W17" s="155"/>
      <c r="X17" s="155" t="s">
        <v>146</v>
      </c>
      <c r="Y17" s="155" t="s">
        <v>147</v>
      </c>
      <c r="Z17" s="145"/>
      <c r="AA17" s="145"/>
      <c r="AB17" s="145"/>
      <c r="AC17" s="145"/>
      <c r="AD17" s="145"/>
      <c r="AE17" s="145"/>
      <c r="AF17" s="145"/>
      <c r="AG17" s="145" t="s">
        <v>148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5">
      <c r="A18" s="172">
        <v>10</v>
      </c>
      <c r="B18" s="173" t="s">
        <v>178</v>
      </c>
      <c r="C18" s="179" t="s">
        <v>179</v>
      </c>
      <c r="D18" s="174" t="s">
        <v>161</v>
      </c>
      <c r="E18" s="175">
        <v>1</v>
      </c>
      <c r="F18" s="176"/>
      <c r="G18" s="177">
        <f t="shared" si="0"/>
        <v>0</v>
      </c>
      <c r="H18" s="156">
        <v>0</v>
      </c>
      <c r="I18" s="155">
        <f t="shared" si="1"/>
        <v>0</v>
      </c>
      <c r="J18" s="156">
        <v>2300</v>
      </c>
      <c r="K18" s="155">
        <f t="shared" si="2"/>
        <v>2300</v>
      </c>
      <c r="L18" s="155">
        <v>21</v>
      </c>
      <c r="M18" s="155">
        <f t="shared" si="3"/>
        <v>0</v>
      </c>
      <c r="N18" s="154">
        <v>0</v>
      </c>
      <c r="O18" s="154">
        <f t="shared" si="4"/>
        <v>0</v>
      </c>
      <c r="P18" s="154">
        <v>0</v>
      </c>
      <c r="Q18" s="154">
        <f t="shared" si="5"/>
        <v>0</v>
      </c>
      <c r="R18" s="155"/>
      <c r="S18" s="155" t="s">
        <v>144</v>
      </c>
      <c r="T18" s="155" t="s">
        <v>145</v>
      </c>
      <c r="U18" s="155">
        <v>0</v>
      </c>
      <c r="V18" s="155">
        <f t="shared" si="6"/>
        <v>0</v>
      </c>
      <c r="W18" s="155"/>
      <c r="X18" s="155" t="s">
        <v>146</v>
      </c>
      <c r="Y18" s="155" t="s">
        <v>147</v>
      </c>
      <c r="Z18" s="145"/>
      <c r="AA18" s="145"/>
      <c r="AB18" s="145"/>
      <c r="AC18" s="145"/>
      <c r="AD18" s="145"/>
      <c r="AE18" s="145"/>
      <c r="AF18" s="145"/>
      <c r="AG18" s="145" t="s">
        <v>148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ht="20.399999999999999" outlineLevel="1" x14ac:dyDescent="0.25">
      <c r="A19" s="172">
        <v>11</v>
      </c>
      <c r="B19" s="173" t="s">
        <v>180</v>
      </c>
      <c r="C19" s="179" t="s">
        <v>181</v>
      </c>
      <c r="D19" s="174" t="s">
        <v>161</v>
      </c>
      <c r="E19" s="175">
        <v>1</v>
      </c>
      <c r="F19" s="176"/>
      <c r="G19" s="177">
        <f t="shared" si="0"/>
        <v>0</v>
      </c>
      <c r="H19" s="156">
        <v>0</v>
      </c>
      <c r="I19" s="155">
        <f t="shared" si="1"/>
        <v>0</v>
      </c>
      <c r="J19" s="156">
        <v>2500</v>
      </c>
      <c r="K19" s="155">
        <f t="shared" si="2"/>
        <v>2500</v>
      </c>
      <c r="L19" s="155">
        <v>21</v>
      </c>
      <c r="M19" s="155">
        <f t="shared" si="3"/>
        <v>0</v>
      </c>
      <c r="N19" s="154">
        <v>0</v>
      </c>
      <c r="O19" s="154">
        <f t="shared" si="4"/>
        <v>0</v>
      </c>
      <c r="P19" s="154">
        <v>0</v>
      </c>
      <c r="Q19" s="154">
        <f t="shared" si="5"/>
        <v>0</v>
      </c>
      <c r="R19" s="155"/>
      <c r="S19" s="155" t="s">
        <v>144</v>
      </c>
      <c r="T19" s="155" t="s">
        <v>145</v>
      </c>
      <c r="U19" s="155">
        <v>0</v>
      </c>
      <c r="V19" s="155">
        <f t="shared" si="6"/>
        <v>0</v>
      </c>
      <c r="W19" s="155"/>
      <c r="X19" s="155" t="s">
        <v>146</v>
      </c>
      <c r="Y19" s="155" t="s">
        <v>147</v>
      </c>
      <c r="Z19" s="145"/>
      <c r="AA19" s="145"/>
      <c r="AB19" s="145"/>
      <c r="AC19" s="145"/>
      <c r="AD19" s="145"/>
      <c r="AE19" s="145"/>
      <c r="AF19" s="145"/>
      <c r="AG19" s="145" t="s">
        <v>148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5">
      <c r="A20" s="172">
        <v>12</v>
      </c>
      <c r="B20" s="173" t="s">
        <v>182</v>
      </c>
      <c r="C20" s="179" t="s">
        <v>183</v>
      </c>
      <c r="D20" s="174" t="s">
        <v>161</v>
      </c>
      <c r="E20" s="175">
        <v>1</v>
      </c>
      <c r="F20" s="176"/>
      <c r="G20" s="177">
        <f t="shared" si="0"/>
        <v>0</v>
      </c>
      <c r="H20" s="156">
        <v>0</v>
      </c>
      <c r="I20" s="155">
        <f t="shared" si="1"/>
        <v>0</v>
      </c>
      <c r="J20" s="156">
        <v>3450</v>
      </c>
      <c r="K20" s="155">
        <f t="shared" si="2"/>
        <v>3450</v>
      </c>
      <c r="L20" s="155">
        <v>21</v>
      </c>
      <c r="M20" s="155">
        <f t="shared" si="3"/>
        <v>0</v>
      </c>
      <c r="N20" s="154">
        <v>0</v>
      </c>
      <c r="O20" s="154">
        <f t="shared" si="4"/>
        <v>0</v>
      </c>
      <c r="P20" s="154">
        <v>0</v>
      </c>
      <c r="Q20" s="154">
        <f t="shared" si="5"/>
        <v>0</v>
      </c>
      <c r="R20" s="155"/>
      <c r="S20" s="155" t="s">
        <v>144</v>
      </c>
      <c r="T20" s="155" t="s">
        <v>145</v>
      </c>
      <c r="U20" s="155">
        <v>0</v>
      </c>
      <c r="V20" s="155">
        <f t="shared" si="6"/>
        <v>0</v>
      </c>
      <c r="W20" s="155"/>
      <c r="X20" s="155" t="s">
        <v>146</v>
      </c>
      <c r="Y20" s="155" t="s">
        <v>147</v>
      </c>
      <c r="Z20" s="145"/>
      <c r="AA20" s="145"/>
      <c r="AB20" s="145"/>
      <c r="AC20" s="145"/>
      <c r="AD20" s="145"/>
      <c r="AE20" s="145"/>
      <c r="AF20" s="145"/>
      <c r="AG20" s="145" t="s">
        <v>148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5">
      <c r="A21" s="172">
        <v>13</v>
      </c>
      <c r="B21" s="173" t="s">
        <v>184</v>
      </c>
      <c r="C21" s="179" t="s">
        <v>185</v>
      </c>
      <c r="D21" s="174" t="s">
        <v>161</v>
      </c>
      <c r="E21" s="175">
        <v>1</v>
      </c>
      <c r="F21" s="176"/>
      <c r="G21" s="177">
        <f t="shared" si="0"/>
        <v>0</v>
      </c>
      <c r="H21" s="156">
        <v>0</v>
      </c>
      <c r="I21" s="155">
        <f t="shared" si="1"/>
        <v>0</v>
      </c>
      <c r="J21" s="156">
        <v>175200</v>
      </c>
      <c r="K21" s="155">
        <f t="shared" si="2"/>
        <v>175200</v>
      </c>
      <c r="L21" s="155">
        <v>21</v>
      </c>
      <c r="M21" s="155">
        <f t="shared" si="3"/>
        <v>0</v>
      </c>
      <c r="N21" s="154">
        <v>0</v>
      </c>
      <c r="O21" s="154">
        <f t="shared" si="4"/>
        <v>0</v>
      </c>
      <c r="P21" s="154">
        <v>0</v>
      </c>
      <c r="Q21" s="154">
        <f t="shared" si="5"/>
        <v>0</v>
      </c>
      <c r="R21" s="155"/>
      <c r="S21" s="155" t="s">
        <v>144</v>
      </c>
      <c r="T21" s="155" t="s">
        <v>145</v>
      </c>
      <c r="U21" s="155">
        <v>0</v>
      </c>
      <c r="V21" s="155">
        <f t="shared" si="6"/>
        <v>0</v>
      </c>
      <c r="W21" s="155"/>
      <c r="X21" s="155" t="s">
        <v>146</v>
      </c>
      <c r="Y21" s="155" t="s">
        <v>147</v>
      </c>
      <c r="Z21" s="145"/>
      <c r="AA21" s="145"/>
      <c r="AB21" s="145"/>
      <c r="AC21" s="145"/>
      <c r="AD21" s="145"/>
      <c r="AE21" s="145"/>
      <c r="AF21" s="145"/>
      <c r="AG21" s="145" t="s">
        <v>148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5">
      <c r="A22" s="172">
        <v>14</v>
      </c>
      <c r="B22" s="173" t="s">
        <v>186</v>
      </c>
      <c r="C22" s="179" t="s">
        <v>187</v>
      </c>
      <c r="D22" s="174" t="s">
        <v>161</v>
      </c>
      <c r="E22" s="175">
        <v>1</v>
      </c>
      <c r="F22" s="176"/>
      <c r="G22" s="177">
        <f t="shared" si="0"/>
        <v>0</v>
      </c>
      <c r="H22" s="156">
        <v>0</v>
      </c>
      <c r="I22" s="155">
        <f t="shared" si="1"/>
        <v>0</v>
      </c>
      <c r="J22" s="156">
        <v>58000</v>
      </c>
      <c r="K22" s="155">
        <f t="shared" si="2"/>
        <v>58000</v>
      </c>
      <c r="L22" s="155">
        <v>21</v>
      </c>
      <c r="M22" s="155">
        <f t="shared" si="3"/>
        <v>0</v>
      </c>
      <c r="N22" s="154">
        <v>0</v>
      </c>
      <c r="O22" s="154">
        <f t="shared" si="4"/>
        <v>0</v>
      </c>
      <c r="P22" s="154">
        <v>0</v>
      </c>
      <c r="Q22" s="154">
        <f t="shared" si="5"/>
        <v>0</v>
      </c>
      <c r="R22" s="155"/>
      <c r="S22" s="155" t="s">
        <v>144</v>
      </c>
      <c r="T22" s="155" t="s">
        <v>145</v>
      </c>
      <c r="U22" s="155">
        <v>0</v>
      </c>
      <c r="V22" s="155">
        <f t="shared" si="6"/>
        <v>0</v>
      </c>
      <c r="W22" s="155"/>
      <c r="X22" s="155" t="s">
        <v>146</v>
      </c>
      <c r="Y22" s="155" t="s">
        <v>147</v>
      </c>
      <c r="Z22" s="145"/>
      <c r="AA22" s="145"/>
      <c r="AB22" s="145"/>
      <c r="AC22" s="145"/>
      <c r="AD22" s="145"/>
      <c r="AE22" s="145"/>
      <c r="AF22" s="145"/>
      <c r="AG22" s="145" t="s">
        <v>148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5">
      <c r="A23" s="172">
        <v>15</v>
      </c>
      <c r="B23" s="173" t="s">
        <v>188</v>
      </c>
      <c r="C23" s="179" t="s">
        <v>189</v>
      </c>
      <c r="D23" s="174" t="s">
        <v>161</v>
      </c>
      <c r="E23" s="175">
        <v>1</v>
      </c>
      <c r="F23" s="176"/>
      <c r="G23" s="177">
        <f t="shared" si="0"/>
        <v>0</v>
      </c>
      <c r="H23" s="156">
        <v>0</v>
      </c>
      <c r="I23" s="155">
        <f t="shared" si="1"/>
        <v>0</v>
      </c>
      <c r="J23" s="156">
        <v>27000</v>
      </c>
      <c r="K23" s="155">
        <f t="shared" si="2"/>
        <v>27000</v>
      </c>
      <c r="L23" s="155">
        <v>21</v>
      </c>
      <c r="M23" s="155">
        <f t="shared" si="3"/>
        <v>0</v>
      </c>
      <c r="N23" s="154">
        <v>0</v>
      </c>
      <c r="O23" s="154">
        <f t="shared" si="4"/>
        <v>0</v>
      </c>
      <c r="P23" s="154">
        <v>0</v>
      </c>
      <c r="Q23" s="154">
        <f t="shared" si="5"/>
        <v>0</v>
      </c>
      <c r="R23" s="155"/>
      <c r="S23" s="155" t="s">
        <v>144</v>
      </c>
      <c r="T23" s="155" t="s">
        <v>145</v>
      </c>
      <c r="U23" s="155">
        <v>0</v>
      </c>
      <c r="V23" s="155">
        <f t="shared" si="6"/>
        <v>0</v>
      </c>
      <c r="W23" s="155"/>
      <c r="X23" s="155" t="s">
        <v>146</v>
      </c>
      <c r="Y23" s="155" t="s">
        <v>147</v>
      </c>
      <c r="Z23" s="145"/>
      <c r="AA23" s="145"/>
      <c r="AB23" s="145"/>
      <c r="AC23" s="145"/>
      <c r="AD23" s="145"/>
      <c r="AE23" s="145"/>
      <c r="AF23" s="145"/>
      <c r="AG23" s="145" t="s">
        <v>148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ht="20.399999999999999" outlineLevel="1" x14ac:dyDescent="0.25">
      <c r="A24" s="172">
        <v>16</v>
      </c>
      <c r="B24" s="173" t="s">
        <v>190</v>
      </c>
      <c r="C24" s="179" t="s">
        <v>191</v>
      </c>
      <c r="D24" s="174" t="s">
        <v>192</v>
      </c>
      <c r="E24" s="175">
        <v>2.2000000000000002</v>
      </c>
      <c r="F24" s="176"/>
      <c r="G24" s="177">
        <f t="shared" si="0"/>
        <v>0</v>
      </c>
      <c r="H24" s="156">
        <v>0</v>
      </c>
      <c r="I24" s="155">
        <f t="shared" si="1"/>
        <v>0</v>
      </c>
      <c r="J24" s="156">
        <v>275.5</v>
      </c>
      <c r="K24" s="155">
        <f t="shared" si="2"/>
        <v>606.1</v>
      </c>
      <c r="L24" s="155">
        <v>21</v>
      </c>
      <c r="M24" s="155">
        <f t="shared" si="3"/>
        <v>0</v>
      </c>
      <c r="N24" s="154">
        <v>0</v>
      </c>
      <c r="O24" s="154">
        <f t="shared" si="4"/>
        <v>0</v>
      </c>
      <c r="P24" s="154">
        <v>0</v>
      </c>
      <c r="Q24" s="154">
        <f t="shared" si="5"/>
        <v>0</v>
      </c>
      <c r="R24" s="155"/>
      <c r="S24" s="155" t="s">
        <v>144</v>
      </c>
      <c r="T24" s="155" t="s">
        <v>145</v>
      </c>
      <c r="U24" s="155">
        <v>0</v>
      </c>
      <c r="V24" s="155">
        <f t="shared" si="6"/>
        <v>0</v>
      </c>
      <c r="W24" s="155"/>
      <c r="X24" s="155" t="s">
        <v>146</v>
      </c>
      <c r="Y24" s="155" t="s">
        <v>147</v>
      </c>
      <c r="Z24" s="145"/>
      <c r="AA24" s="145"/>
      <c r="AB24" s="145"/>
      <c r="AC24" s="145"/>
      <c r="AD24" s="145"/>
      <c r="AE24" s="145"/>
      <c r="AF24" s="145"/>
      <c r="AG24" s="145" t="s">
        <v>148</v>
      </c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ht="20.399999999999999" outlineLevel="1" x14ac:dyDescent="0.25">
      <c r="A25" s="166">
        <v>17</v>
      </c>
      <c r="B25" s="167" t="s">
        <v>193</v>
      </c>
      <c r="C25" s="180" t="s">
        <v>194</v>
      </c>
      <c r="D25" s="168" t="s">
        <v>161</v>
      </c>
      <c r="E25" s="169">
        <v>1</v>
      </c>
      <c r="F25" s="170"/>
      <c r="G25" s="171">
        <f t="shared" si="0"/>
        <v>0</v>
      </c>
      <c r="H25" s="156">
        <v>0</v>
      </c>
      <c r="I25" s="155">
        <f t="shared" si="1"/>
        <v>0</v>
      </c>
      <c r="J25" s="156">
        <v>2950</v>
      </c>
      <c r="K25" s="155">
        <f t="shared" si="2"/>
        <v>2950</v>
      </c>
      <c r="L25" s="155">
        <v>21</v>
      </c>
      <c r="M25" s="155">
        <f t="shared" si="3"/>
        <v>0</v>
      </c>
      <c r="N25" s="154">
        <v>0</v>
      </c>
      <c r="O25" s="154">
        <f t="shared" si="4"/>
        <v>0</v>
      </c>
      <c r="P25" s="154">
        <v>0</v>
      </c>
      <c r="Q25" s="154">
        <f t="shared" si="5"/>
        <v>0</v>
      </c>
      <c r="R25" s="155"/>
      <c r="S25" s="155" t="s">
        <v>144</v>
      </c>
      <c r="T25" s="155" t="s">
        <v>145</v>
      </c>
      <c r="U25" s="155">
        <v>0</v>
      </c>
      <c r="V25" s="155">
        <f t="shared" si="6"/>
        <v>0</v>
      </c>
      <c r="W25" s="155"/>
      <c r="X25" s="155" t="s">
        <v>146</v>
      </c>
      <c r="Y25" s="155" t="s">
        <v>147</v>
      </c>
      <c r="Z25" s="145"/>
      <c r="AA25" s="145"/>
      <c r="AB25" s="145"/>
      <c r="AC25" s="145"/>
      <c r="AD25" s="145"/>
      <c r="AE25" s="145"/>
      <c r="AF25" s="145"/>
      <c r="AG25" s="145" t="s">
        <v>148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x14ac:dyDescent="0.25">
      <c r="A26" s="3"/>
      <c r="B26" s="4"/>
      <c r="C26" s="181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15</v>
      </c>
      <c r="AF26">
        <v>21</v>
      </c>
      <c r="AG26" t="s">
        <v>125</v>
      </c>
    </row>
    <row r="27" spans="1:60" x14ac:dyDescent="0.25">
      <c r="A27" s="148"/>
      <c r="B27" s="149" t="s">
        <v>31</v>
      </c>
      <c r="C27" s="182"/>
      <c r="D27" s="150"/>
      <c r="E27" s="151"/>
      <c r="F27" s="151"/>
      <c r="G27" s="165">
        <f>G8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155</v>
      </c>
    </row>
    <row r="28" spans="1:60" x14ac:dyDescent="0.25">
      <c r="A28" s="3"/>
      <c r="B28" s="4"/>
      <c r="C28" s="181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5">
      <c r="A29" s="3"/>
      <c r="B29" s="4"/>
      <c r="C29" s="181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5">
      <c r="A30" s="531" t="s">
        <v>156</v>
      </c>
      <c r="B30" s="531"/>
      <c r="C30" s="532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5">
      <c r="A31" s="512"/>
      <c r="B31" s="513"/>
      <c r="C31" s="514"/>
      <c r="D31" s="513"/>
      <c r="E31" s="513"/>
      <c r="F31" s="513"/>
      <c r="G31" s="515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G31" t="s">
        <v>157</v>
      </c>
    </row>
    <row r="32" spans="1:60" x14ac:dyDescent="0.25">
      <c r="A32" s="516"/>
      <c r="B32" s="517"/>
      <c r="C32" s="518"/>
      <c r="D32" s="517"/>
      <c r="E32" s="517"/>
      <c r="F32" s="517"/>
      <c r="G32" s="519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5">
      <c r="A33" s="516"/>
      <c r="B33" s="517"/>
      <c r="C33" s="518"/>
      <c r="D33" s="517"/>
      <c r="E33" s="517"/>
      <c r="F33" s="517"/>
      <c r="G33" s="519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5">
      <c r="A34" s="516"/>
      <c r="B34" s="517"/>
      <c r="C34" s="518"/>
      <c r="D34" s="517"/>
      <c r="E34" s="517"/>
      <c r="F34" s="517"/>
      <c r="G34" s="519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5">
      <c r="A35" s="520"/>
      <c r="B35" s="521"/>
      <c r="C35" s="522"/>
      <c r="D35" s="521"/>
      <c r="E35" s="521"/>
      <c r="F35" s="521"/>
      <c r="G35" s="52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5">
      <c r="A36" s="3"/>
      <c r="B36" s="4"/>
      <c r="C36" s="181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5">
      <c r="C37" s="183"/>
      <c r="D37" s="10"/>
      <c r="AG37" t="s">
        <v>158</v>
      </c>
    </row>
    <row r="38" spans="1:33" x14ac:dyDescent="0.25">
      <c r="D38" s="10"/>
    </row>
    <row r="39" spans="1:33" x14ac:dyDescent="0.25">
      <c r="D39" s="10"/>
    </row>
    <row r="40" spans="1:33" x14ac:dyDescent="0.25">
      <c r="D40" s="10"/>
    </row>
    <row r="41" spans="1:33" x14ac:dyDescent="0.25">
      <c r="D41" s="10"/>
    </row>
    <row r="42" spans="1:33" x14ac:dyDescent="0.25">
      <c r="D42" s="10"/>
    </row>
    <row r="43" spans="1:33" x14ac:dyDescent="0.25">
      <c r="D43" s="10"/>
    </row>
    <row r="44" spans="1:33" x14ac:dyDescent="0.25">
      <c r="D44" s="10"/>
    </row>
    <row r="45" spans="1:33" x14ac:dyDescent="0.25">
      <c r="D45" s="10"/>
    </row>
    <row r="46" spans="1:33" x14ac:dyDescent="0.25">
      <c r="D46" s="10"/>
    </row>
    <row r="47" spans="1:33" x14ac:dyDescent="0.25">
      <c r="D47" s="10"/>
    </row>
    <row r="48" spans="1:33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3sllpnN5cisx0aZVaMohYz+XZSSgIdr7zUeL2mnEksICUxVV7tf8U7B4hIRhBwb6MoL6GvMcKMNBNre3rvXV6w==" saltValue="nNCfBnckHa+MspDNe7euyA==" spinCount="100000" sheet="1" objects="1" scenarios="1"/>
  <mergeCells count="6">
    <mergeCell ref="A31:G35"/>
    <mergeCell ref="A1:G1"/>
    <mergeCell ref="C2:G2"/>
    <mergeCell ref="C3:G3"/>
    <mergeCell ref="C4:G4"/>
    <mergeCell ref="A30:C30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52</vt:i4>
      </vt:variant>
    </vt:vector>
  </HeadingPairs>
  <TitlesOfParts>
    <vt:vector size="61" baseType="lpstr">
      <vt:lpstr>Stavba</vt:lpstr>
      <vt:lpstr>VzorPolozky</vt:lpstr>
      <vt:lpstr>SO 11 D1.1 + D1.2 Pol</vt:lpstr>
      <vt:lpstr>SO 11 D 1.4 Pol</vt:lpstr>
      <vt:lpstr>D 1.4.1 ZTI</vt:lpstr>
      <vt:lpstr>D 1.4.2 Elektroinstalace</vt:lpstr>
      <vt:lpstr>D 1.4.4 Vzduchotechnika</vt:lpstr>
      <vt:lpstr>D 1.4.5 Slaboproud</vt:lpstr>
      <vt:lpstr>SO 11 D 1.5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11 D 1.4 Pol'!Názvy_tisku</vt:lpstr>
      <vt:lpstr>'SO 11 D 1.5 Pol'!Názvy_tisku</vt:lpstr>
      <vt:lpstr>'SO 11 D1.1 + D1.2 Pol'!Názvy_tisku</vt:lpstr>
      <vt:lpstr>oadresa</vt:lpstr>
      <vt:lpstr>Stavba!Objednatel</vt:lpstr>
      <vt:lpstr>Stavba!Objekt</vt:lpstr>
      <vt:lpstr>'SO 11 D 1.4 Pol'!Oblast_tisku</vt:lpstr>
      <vt:lpstr>'SO 11 D 1.5 Pol'!Oblast_tisku</vt:lpstr>
      <vt:lpstr>'SO 11 D1.1 + D1.2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Jan Tejmar</cp:lastModifiedBy>
  <cp:lastPrinted>2019-03-19T12:27:02Z</cp:lastPrinted>
  <dcterms:created xsi:type="dcterms:W3CDTF">2009-04-08T07:15:50Z</dcterms:created>
  <dcterms:modified xsi:type="dcterms:W3CDTF">2024-01-08T20:23:24Z</dcterms:modified>
</cp:coreProperties>
</file>