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use\Desktop\Polanka\Polanka revize září 2023\02_Soupis_stavebnich_praci_dodavek_a_sluzeb\02_Soupis_stavebnich_praci_dodavek_a_sluzeb\"/>
    </mc:Choice>
  </mc:AlternateContent>
  <xr:revisionPtr revIDLastSave="0" documentId="13_ncr:1_{73B76B61-BFC2-4C9A-9D12-94CA3A2FE83F}" xr6:coauthVersionLast="47" xr6:coauthVersionMax="47" xr10:uidLastSave="{00000000-0000-0000-0000-000000000000}"/>
  <bookViews>
    <workbookView xWindow="-28920" yWindow="555" windowWidth="29040" windowHeight="15720" tabRatio="729" activeTab="7" xr2:uid="{00000000-000D-0000-FFFF-FFFF00000000}"/>
  </bookViews>
  <sheets>
    <sheet name="Stavba" sheetId="1" r:id="rId1"/>
    <sheet name="VzorPolozky" sheetId="10" state="hidden" r:id="rId2"/>
    <sheet name="SO 12 D1.1 + D1.2 Pol" sheetId="14" r:id="rId3"/>
    <sheet name="SO 12 D 1.4 Pol" sheetId="12" r:id="rId4"/>
    <sheet name="D 1.4.1 ZTI" sheetId="15" r:id="rId5"/>
    <sheet name="D 1.4.2 Elektroinstalace" sheetId="16" r:id="rId6"/>
    <sheet name="D 1.4.4 Vzduchotechnika" sheetId="17" r:id="rId7"/>
    <sheet name="D 1.4.5 Slaboproud" sheetId="19" r:id="rId8"/>
    <sheet name="SO 12 D 1.5 Pol" sheetId="13" r:id="rId9"/>
  </sheets>
  <externalReferences>
    <externalReference r:id="rId10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'SO 12 D 1.4 Pol'!$1:$7</definedName>
    <definedName name="_xlnm.Print_Titles" localSheetId="8">'SO 12 D 1.5 Pol'!$1:$7</definedName>
    <definedName name="_xlnm.Print_Titles" localSheetId="2">'SO 12 D1.1 + D1.2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'SO 12 D 1.4 Pol'!$A$1:$Y$24</definedName>
    <definedName name="_xlnm.Print_Area" localSheetId="8">'SO 12 D 1.5 Pol'!$A$1:$Y$59</definedName>
    <definedName name="_xlnm.Print_Area" localSheetId="2">'SO 12 D1.1 + D1.2 Pol'!$A$1:$Y$303</definedName>
    <definedName name="_xlnm.Print_Area" localSheetId="0">Stavba!$A$1:$J$80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6" i="19" l="1"/>
  <c r="H103" i="19"/>
  <c r="G9" i="16" l="1"/>
  <c r="G8" i="16" s="1"/>
  <c r="G47" i="17"/>
  <c r="E125" i="14"/>
  <c r="E127" i="14"/>
  <c r="G215" i="14"/>
  <c r="G228" i="14"/>
  <c r="G229" i="14"/>
  <c r="G230" i="14"/>
  <c r="G231" i="14"/>
  <c r="G232" i="14"/>
  <c r="G233" i="14"/>
  <c r="G234" i="14"/>
  <c r="G235" i="14"/>
  <c r="G236" i="14"/>
  <c r="G237" i="14"/>
  <c r="G238" i="14"/>
  <c r="O63" i="14"/>
  <c r="O64" i="14"/>
  <c r="O23" i="14"/>
  <c r="E130" i="14" l="1"/>
  <c r="G63" i="14"/>
  <c r="G64" i="14"/>
  <c r="E25" i="14"/>
  <c r="G15" i="14"/>
  <c r="E11" i="14"/>
  <c r="E10" i="14" s="1"/>
  <c r="E9" i="14"/>
  <c r="I46" i="16"/>
  <c r="I47" i="16"/>
  <c r="I48" i="16"/>
  <c r="I49" i="16"/>
  <c r="I50" i="16"/>
  <c r="I45" i="16"/>
  <c r="I44" i="16" s="1"/>
  <c r="G46" i="16"/>
  <c r="K46" i="16" s="1"/>
  <c r="G47" i="16"/>
  <c r="K47" i="16" s="1"/>
  <c r="G48" i="16"/>
  <c r="G49" i="16"/>
  <c r="G50" i="16"/>
  <c r="G45" i="16"/>
  <c r="I42" i="16"/>
  <c r="I43" i="16"/>
  <c r="K43" i="16" s="1"/>
  <c r="I41" i="16"/>
  <c r="G42" i="16"/>
  <c r="G43" i="16"/>
  <c r="G41" i="16"/>
  <c r="G37" i="16"/>
  <c r="G38" i="16"/>
  <c r="G39" i="16"/>
  <c r="I37" i="16"/>
  <c r="I38" i="16"/>
  <c r="I39" i="16"/>
  <c r="I36" i="16"/>
  <c r="G36" i="16"/>
  <c r="G31" i="16"/>
  <c r="G32" i="16"/>
  <c r="G33" i="16"/>
  <c r="G34" i="16"/>
  <c r="I31" i="16"/>
  <c r="I32" i="16"/>
  <c r="I33" i="16"/>
  <c r="I34" i="16"/>
  <c r="I30" i="16"/>
  <c r="G30" i="16"/>
  <c r="I22" i="16"/>
  <c r="I23" i="16"/>
  <c r="I24" i="16"/>
  <c r="I25" i="16"/>
  <c r="I26" i="16"/>
  <c r="I27" i="16"/>
  <c r="I28" i="16"/>
  <c r="G22" i="16"/>
  <c r="G23" i="16"/>
  <c r="G24" i="16"/>
  <c r="G25" i="16"/>
  <c r="G26" i="16"/>
  <c r="G27" i="16"/>
  <c r="G28" i="16"/>
  <c r="I21" i="16"/>
  <c r="G21" i="16"/>
  <c r="G12" i="16"/>
  <c r="G13" i="16"/>
  <c r="G14" i="16"/>
  <c r="G15" i="16"/>
  <c r="G16" i="16"/>
  <c r="G17" i="16"/>
  <c r="G18" i="16"/>
  <c r="G19" i="16"/>
  <c r="I12" i="16"/>
  <c r="I13" i="16"/>
  <c r="I14" i="16"/>
  <c r="I15" i="16"/>
  <c r="I16" i="16"/>
  <c r="I17" i="16"/>
  <c r="I18" i="16"/>
  <c r="I19" i="16"/>
  <c r="I11" i="16"/>
  <c r="G11" i="16"/>
  <c r="I9" i="16"/>
  <c r="K9" i="16" s="1"/>
  <c r="K8" i="16" s="1"/>
  <c r="K50" i="16" l="1"/>
  <c r="K49" i="16"/>
  <c r="G44" i="16"/>
  <c r="K42" i="16"/>
  <c r="I40" i="16"/>
  <c r="K37" i="16"/>
  <c r="K36" i="16"/>
  <c r="K34" i="16"/>
  <c r="I29" i="16"/>
  <c r="K33" i="16"/>
  <c r="K31" i="16"/>
  <c r="K22" i="16"/>
  <c r="K26" i="16"/>
  <c r="K27" i="16"/>
  <c r="I20" i="16"/>
  <c r="K25" i="16"/>
  <c r="G20" i="16"/>
  <c r="K17" i="16"/>
  <c r="I10" i="16"/>
  <c r="G10" i="16"/>
  <c r="K24" i="16"/>
  <c r="K12" i="16"/>
  <c r="K23" i="16"/>
  <c r="K39" i="16"/>
  <c r="I35" i="16"/>
  <c r="K19" i="16"/>
  <c r="K30" i="16"/>
  <c r="K32" i="16"/>
  <c r="K38" i="16"/>
  <c r="K14" i="16"/>
  <c r="K18" i="16"/>
  <c r="K28" i="16"/>
  <c r="K41" i="16"/>
  <c r="K13" i="16"/>
  <c r="K16" i="16"/>
  <c r="K48" i="16"/>
  <c r="I8" i="16"/>
  <c r="K15" i="16"/>
  <c r="G29" i="16"/>
  <c r="G35" i="16"/>
  <c r="K45" i="16"/>
  <c r="K44" i="16" s="1"/>
  <c r="K11" i="16"/>
  <c r="K21" i="16"/>
  <c r="G40" i="16"/>
  <c r="E12" i="14"/>
  <c r="Q12" i="14" s="1"/>
  <c r="IS177" i="15"/>
  <c r="IR177" i="15"/>
  <c r="IS176" i="15"/>
  <c r="IR176" i="15"/>
  <c r="IS175" i="15"/>
  <c r="IR175" i="15"/>
  <c r="IS174" i="15"/>
  <c r="IR174" i="15"/>
  <c r="IS173" i="15"/>
  <c r="IR173" i="15"/>
  <c r="IS172" i="15"/>
  <c r="IR172" i="15"/>
  <c r="IS171" i="15"/>
  <c r="IR171" i="15"/>
  <c r="IS170" i="15"/>
  <c r="IR170" i="15"/>
  <c r="IS169" i="15"/>
  <c r="IR169" i="15"/>
  <c r="IS168" i="15"/>
  <c r="IR168" i="15"/>
  <c r="IS167" i="15"/>
  <c r="IR167" i="15"/>
  <c r="IS166" i="15"/>
  <c r="IR166" i="15"/>
  <c r="IS165" i="15"/>
  <c r="IR165" i="15"/>
  <c r="IS164" i="15"/>
  <c r="IR164" i="15"/>
  <c r="IS163" i="15"/>
  <c r="IR163" i="15"/>
  <c r="IS162" i="15"/>
  <c r="IR162" i="15"/>
  <c r="IS161" i="15"/>
  <c r="IR161" i="15"/>
  <c r="K161" i="15" s="1"/>
  <c r="IS160" i="15"/>
  <c r="IR160" i="15"/>
  <c r="IS159" i="15"/>
  <c r="IR159" i="15"/>
  <c r="IS158" i="15"/>
  <c r="IR158" i="15"/>
  <c r="IS157" i="15"/>
  <c r="IR157" i="15"/>
  <c r="IS156" i="15"/>
  <c r="IR156" i="15"/>
  <c r="IS155" i="15"/>
  <c r="IR155" i="15"/>
  <c r="IS154" i="15"/>
  <c r="IR154" i="15"/>
  <c r="IS153" i="15"/>
  <c r="IR153" i="15"/>
  <c r="K153" i="15" s="1"/>
  <c r="IS152" i="15"/>
  <c r="IR152" i="15"/>
  <c r="IS151" i="15"/>
  <c r="IR151" i="15"/>
  <c r="IS150" i="15"/>
  <c r="IR150" i="15"/>
  <c r="IS149" i="15"/>
  <c r="IR149" i="15"/>
  <c r="IS148" i="15"/>
  <c r="IR148" i="15"/>
  <c r="IS147" i="15"/>
  <c r="IR147" i="15"/>
  <c r="IS146" i="15"/>
  <c r="IR146" i="15"/>
  <c r="IS145" i="15"/>
  <c r="IR145" i="15"/>
  <c r="IS144" i="15"/>
  <c r="IR144" i="15"/>
  <c r="IS143" i="15"/>
  <c r="IR143" i="15"/>
  <c r="IS142" i="15"/>
  <c r="IR142" i="15"/>
  <c r="IS141" i="15"/>
  <c r="IR141" i="15"/>
  <c r="IS140" i="15"/>
  <c r="IR140" i="15"/>
  <c r="IS139" i="15"/>
  <c r="IR139" i="15"/>
  <c r="IS138" i="15"/>
  <c r="IR138" i="15"/>
  <c r="IS137" i="15"/>
  <c r="IR137" i="15"/>
  <c r="IS136" i="15"/>
  <c r="IR136" i="15"/>
  <c r="IS135" i="15"/>
  <c r="IR135" i="15"/>
  <c r="IS134" i="15"/>
  <c r="IR134" i="15"/>
  <c r="IS133" i="15"/>
  <c r="IR133" i="15"/>
  <c r="IS132" i="15"/>
  <c r="IR132" i="15"/>
  <c r="IS131" i="15"/>
  <c r="IR131" i="15"/>
  <c r="IS130" i="15"/>
  <c r="IR130" i="15"/>
  <c r="IS129" i="15"/>
  <c r="IR129" i="15"/>
  <c r="IS128" i="15"/>
  <c r="IR128" i="15"/>
  <c r="IS127" i="15"/>
  <c r="IR127" i="15"/>
  <c r="IS126" i="15"/>
  <c r="IR126" i="15"/>
  <c r="IS125" i="15"/>
  <c r="IR125" i="15"/>
  <c r="K125" i="15" s="1"/>
  <c r="IS124" i="15"/>
  <c r="IR124" i="15"/>
  <c r="IS123" i="15"/>
  <c r="IR123" i="15"/>
  <c r="IS122" i="15"/>
  <c r="IR122" i="15"/>
  <c r="IS121" i="15"/>
  <c r="IR121" i="15"/>
  <c r="K121" i="15" s="1"/>
  <c r="IS120" i="15"/>
  <c r="IR120" i="15"/>
  <c r="IS119" i="15"/>
  <c r="IR119" i="15"/>
  <c r="IS118" i="15"/>
  <c r="IR118" i="15"/>
  <c r="IS117" i="15"/>
  <c r="IR117" i="15"/>
  <c r="IS116" i="15"/>
  <c r="IR116" i="15"/>
  <c r="IS115" i="15"/>
  <c r="IR115" i="15"/>
  <c r="IS114" i="15"/>
  <c r="IR114" i="15"/>
  <c r="IS113" i="15"/>
  <c r="IR113" i="15"/>
  <c r="IS112" i="15"/>
  <c r="IR112" i="15"/>
  <c r="IS110" i="15"/>
  <c r="IR110" i="15"/>
  <c r="IS109" i="15"/>
  <c r="IR109" i="15"/>
  <c r="IS108" i="15"/>
  <c r="IR108" i="15"/>
  <c r="K108" i="15" s="1"/>
  <c r="IS107" i="15"/>
  <c r="IR107" i="15"/>
  <c r="IS106" i="15"/>
  <c r="IR106" i="15"/>
  <c r="IS105" i="15"/>
  <c r="IR105" i="15"/>
  <c r="IS104" i="15"/>
  <c r="IR104" i="15"/>
  <c r="K104" i="15" s="1"/>
  <c r="IS103" i="15"/>
  <c r="IR103" i="15"/>
  <c r="IS102" i="15"/>
  <c r="IR102" i="15"/>
  <c r="IS101" i="15"/>
  <c r="IR101" i="15"/>
  <c r="IS100" i="15"/>
  <c r="IR100" i="15"/>
  <c r="K100" i="15" s="1"/>
  <c r="IS99" i="15"/>
  <c r="IR99" i="15"/>
  <c r="IS98" i="15"/>
  <c r="IR98" i="15"/>
  <c r="IS97" i="15"/>
  <c r="IR97" i="15"/>
  <c r="K97" i="15" s="1"/>
  <c r="IS96" i="15"/>
  <c r="IR96" i="15"/>
  <c r="IS95" i="15"/>
  <c r="IR95" i="15"/>
  <c r="IS94" i="15"/>
  <c r="IR94" i="15"/>
  <c r="IS93" i="15"/>
  <c r="IR93" i="15"/>
  <c r="IS92" i="15"/>
  <c r="IR92" i="15"/>
  <c r="K92" i="15" s="1"/>
  <c r="IS91" i="15"/>
  <c r="IR91" i="15"/>
  <c r="IS90" i="15"/>
  <c r="IR90" i="15"/>
  <c r="IS89" i="15"/>
  <c r="IR89" i="15"/>
  <c r="IS88" i="15"/>
  <c r="IR88" i="15"/>
  <c r="IS87" i="15"/>
  <c r="IR87" i="15"/>
  <c r="IS86" i="15"/>
  <c r="IR86" i="15"/>
  <c r="IS85" i="15"/>
  <c r="IR85" i="15"/>
  <c r="IS84" i="15"/>
  <c r="IR84" i="15"/>
  <c r="IS83" i="15"/>
  <c r="IR83" i="15"/>
  <c r="IS82" i="15"/>
  <c r="IR82" i="15"/>
  <c r="IS81" i="15"/>
  <c r="K81" i="15" s="1"/>
  <c r="IR81" i="15"/>
  <c r="IS80" i="15"/>
  <c r="IR80" i="15"/>
  <c r="IS79" i="15"/>
  <c r="IR79" i="15"/>
  <c r="IS78" i="15"/>
  <c r="IR78" i="15"/>
  <c r="IS77" i="15"/>
  <c r="IR77" i="15"/>
  <c r="IS76" i="15"/>
  <c r="IR76" i="15"/>
  <c r="K76" i="15" s="1"/>
  <c r="IS75" i="15"/>
  <c r="IR75" i="15"/>
  <c r="IS74" i="15"/>
  <c r="IR74" i="15"/>
  <c r="IS73" i="15"/>
  <c r="IR73" i="15"/>
  <c r="IS72" i="15"/>
  <c r="IR72" i="15"/>
  <c r="K72" i="15" s="1"/>
  <c r="IS71" i="15"/>
  <c r="IR71" i="15"/>
  <c r="IS70" i="15"/>
  <c r="IR70" i="15"/>
  <c r="IS69" i="15"/>
  <c r="IR69" i="15"/>
  <c r="IS68" i="15"/>
  <c r="IR68" i="15"/>
  <c r="K68" i="15" s="1"/>
  <c r="IS67" i="15"/>
  <c r="IR67" i="15"/>
  <c r="IS65" i="15"/>
  <c r="IR65" i="15"/>
  <c r="IS64" i="15"/>
  <c r="IR64" i="15"/>
  <c r="IS63" i="15"/>
  <c r="IR63" i="15"/>
  <c r="IS62" i="15"/>
  <c r="IR62" i="15"/>
  <c r="IS61" i="15"/>
  <c r="IR61" i="15"/>
  <c r="IS60" i="15"/>
  <c r="IR60" i="15"/>
  <c r="IS59" i="15"/>
  <c r="IR59" i="15"/>
  <c r="IS58" i="15"/>
  <c r="IR58" i="15"/>
  <c r="IS57" i="15"/>
  <c r="IR57" i="15"/>
  <c r="IS56" i="15"/>
  <c r="IR56" i="15"/>
  <c r="IS55" i="15"/>
  <c r="IR55" i="15"/>
  <c r="IS54" i="15"/>
  <c r="IR54" i="15"/>
  <c r="IS53" i="15"/>
  <c r="IR53" i="15"/>
  <c r="IS52" i="15"/>
  <c r="IR52" i="15"/>
  <c r="IS51" i="15"/>
  <c r="IR51" i="15"/>
  <c r="K51" i="15" s="1"/>
  <c r="IS50" i="15"/>
  <c r="IR50" i="15"/>
  <c r="IS49" i="15"/>
  <c r="IR49" i="15"/>
  <c r="IS48" i="15"/>
  <c r="IR48" i="15"/>
  <c r="K48" i="15" s="1"/>
  <c r="IS47" i="15"/>
  <c r="IR47" i="15"/>
  <c r="IS46" i="15"/>
  <c r="IR46" i="15"/>
  <c r="IS45" i="15"/>
  <c r="IR45" i="15"/>
  <c r="IS44" i="15"/>
  <c r="IR44" i="15"/>
  <c r="IS43" i="15"/>
  <c r="IR43" i="15"/>
  <c r="K43" i="15" s="1"/>
  <c r="IS42" i="15"/>
  <c r="IR42" i="15"/>
  <c r="IS41" i="15"/>
  <c r="IR41" i="15"/>
  <c r="IS40" i="15"/>
  <c r="IR40" i="15"/>
  <c r="IS38" i="15"/>
  <c r="IR38" i="15"/>
  <c r="IS37" i="15"/>
  <c r="IR37" i="15"/>
  <c r="IS36" i="15"/>
  <c r="IR36" i="15"/>
  <c r="IS35" i="15"/>
  <c r="IR35" i="15"/>
  <c r="K35" i="15" s="1"/>
  <c r="IS34" i="15"/>
  <c r="IR34" i="15"/>
  <c r="IS33" i="15"/>
  <c r="IR33" i="15"/>
  <c r="IS32" i="15"/>
  <c r="IR32" i="15"/>
  <c r="IS31" i="15"/>
  <c r="IR31" i="15"/>
  <c r="K31" i="15" s="1"/>
  <c r="IS30" i="15"/>
  <c r="IR30" i="15"/>
  <c r="IS29" i="15"/>
  <c r="IR29" i="15"/>
  <c r="IS28" i="15"/>
  <c r="IR28" i="15"/>
  <c r="IS26" i="15"/>
  <c r="IR26" i="15"/>
  <c r="IS25" i="15"/>
  <c r="IR25" i="15"/>
  <c r="K25" i="15" s="1"/>
  <c r="IS24" i="15"/>
  <c r="IR24" i="15"/>
  <c r="K24" i="15" s="1"/>
  <c r="IS23" i="15"/>
  <c r="IR23" i="15"/>
  <c r="K23" i="15" s="1"/>
  <c r="IS21" i="15"/>
  <c r="IR21" i="15"/>
  <c r="IS20" i="15"/>
  <c r="IR20" i="15"/>
  <c r="IS19" i="15"/>
  <c r="IR19" i="15"/>
  <c r="K19" i="15" s="1"/>
  <c r="IS18" i="15"/>
  <c r="IR18" i="15"/>
  <c r="IS17" i="15"/>
  <c r="IR17" i="15"/>
  <c r="IS16" i="15"/>
  <c r="IR16" i="15"/>
  <c r="IS15" i="15"/>
  <c r="IR15" i="15"/>
  <c r="IS14" i="15"/>
  <c r="IR14" i="15"/>
  <c r="IS13" i="15"/>
  <c r="K13" i="15" s="1"/>
  <c r="IR13" i="15"/>
  <c r="IS12" i="15"/>
  <c r="IR12" i="15"/>
  <c r="IS11" i="15"/>
  <c r="IR11" i="15"/>
  <c r="K11" i="15" s="1"/>
  <c r="IS10" i="15"/>
  <c r="IR10" i="15"/>
  <c r="IS9" i="15"/>
  <c r="IR9" i="15"/>
  <c r="IS8" i="15"/>
  <c r="IR8" i="15"/>
  <c r="IS7" i="15"/>
  <c r="IR7" i="15"/>
  <c r="IS6" i="15"/>
  <c r="IR6" i="15"/>
  <c r="IS5" i="15"/>
  <c r="IR5" i="15"/>
  <c r="IS4" i="15"/>
  <c r="IR4" i="15"/>
  <c r="G126" i="17"/>
  <c r="G119" i="17"/>
  <c r="G120" i="17"/>
  <c r="G121" i="17"/>
  <c r="G122" i="17"/>
  <c r="G118" i="17"/>
  <c r="G116" i="17"/>
  <c r="G114" i="17"/>
  <c r="G113" i="17"/>
  <c r="G111" i="17"/>
  <c r="G107" i="17"/>
  <c r="G100" i="17"/>
  <c r="G97" i="17"/>
  <c r="G98" i="17"/>
  <c r="G99" i="17"/>
  <c r="G96" i="17"/>
  <c r="G88" i="17"/>
  <c r="G89" i="17"/>
  <c r="G90" i="17"/>
  <c r="G91" i="17"/>
  <c r="G92" i="17"/>
  <c r="G87" i="17"/>
  <c r="G86" i="17"/>
  <c r="G85" i="17"/>
  <c r="G82" i="17"/>
  <c r="G81" i="17"/>
  <c r="G78" i="17"/>
  <c r="G77" i="17"/>
  <c r="G73" i="17"/>
  <c r="G66" i="17"/>
  <c r="G62" i="17"/>
  <c r="G61" i="17"/>
  <c r="G59" i="17"/>
  <c r="G58" i="17"/>
  <c r="G56" i="17"/>
  <c r="G48" i="17"/>
  <c r="G49" i="17"/>
  <c r="G50" i="17"/>
  <c r="H106" i="19"/>
  <c r="F103" i="19"/>
  <c r="H102" i="19"/>
  <c r="F102" i="19"/>
  <c r="H101" i="19"/>
  <c r="F101" i="19"/>
  <c r="H100" i="19"/>
  <c r="F100" i="19"/>
  <c r="H99" i="19"/>
  <c r="F99" i="19"/>
  <c r="H98" i="19"/>
  <c r="F98" i="19"/>
  <c r="H97" i="19"/>
  <c r="F97" i="19"/>
  <c r="H96" i="19"/>
  <c r="F96" i="19"/>
  <c r="H95" i="19"/>
  <c r="F95" i="19"/>
  <c r="H94" i="19"/>
  <c r="F94" i="19"/>
  <c r="H93" i="19"/>
  <c r="F93" i="19"/>
  <c r="H92" i="19"/>
  <c r="F92" i="19"/>
  <c r="H91" i="19"/>
  <c r="F91" i="19"/>
  <c r="H90" i="19"/>
  <c r="F90" i="19"/>
  <c r="H86" i="19"/>
  <c r="F86" i="19"/>
  <c r="H85" i="19"/>
  <c r="F85" i="19"/>
  <c r="H84" i="19"/>
  <c r="F84" i="19"/>
  <c r="H83" i="19"/>
  <c r="F83" i="19"/>
  <c r="H82" i="19"/>
  <c r="F82" i="19"/>
  <c r="H81" i="19"/>
  <c r="F81" i="19"/>
  <c r="H80" i="19"/>
  <c r="F80" i="19"/>
  <c r="H79" i="19"/>
  <c r="F79" i="19"/>
  <c r="H78" i="19"/>
  <c r="F78" i="19"/>
  <c r="H77" i="19"/>
  <c r="F77" i="19"/>
  <c r="H76" i="19"/>
  <c r="F76" i="19"/>
  <c r="H75" i="19"/>
  <c r="F75" i="19"/>
  <c r="H74" i="19"/>
  <c r="F74" i="19"/>
  <c r="H73" i="19"/>
  <c r="F73" i="19"/>
  <c r="H72" i="19"/>
  <c r="F72" i="19"/>
  <c r="H71" i="19"/>
  <c r="F71" i="19"/>
  <c r="H70" i="19"/>
  <c r="F70" i="19"/>
  <c r="H69" i="19"/>
  <c r="F69" i="19"/>
  <c r="H65" i="19"/>
  <c r="F65" i="19"/>
  <c r="H64" i="19"/>
  <c r="F64" i="19"/>
  <c r="H63" i="19"/>
  <c r="F63" i="19"/>
  <c r="H62" i="19"/>
  <c r="F62" i="19"/>
  <c r="H61" i="19"/>
  <c r="F61" i="19"/>
  <c r="H60" i="19"/>
  <c r="F60" i="19"/>
  <c r="H59" i="19"/>
  <c r="F59" i="19"/>
  <c r="H58" i="19"/>
  <c r="F58" i="19"/>
  <c r="H57" i="19"/>
  <c r="F57" i="19"/>
  <c r="H56" i="19"/>
  <c r="F56" i="19"/>
  <c r="H55" i="19"/>
  <c r="F55" i="19"/>
  <c r="H54" i="19"/>
  <c r="F54" i="19"/>
  <c r="H53" i="19"/>
  <c r="F53" i="19"/>
  <c r="H52" i="19"/>
  <c r="F52" i="19"/>
  <c r="H51" i="19"/>
  <c r="F51" i="19"/>
  <c r="H50" i="19"/>
  <c r="F50" i="19"/>
  <c r="H49" i="19"/>
  <c r="F49" i="19"/>
  <c r="H45" i="19"/>
  <c r="F45" i="19"/>
  <c r="H44" i="19"/>
  <c r="F44" i="19"/>
  <c r="H43" i="19"/>
  <c r="F43" i="19"/>
  <c r="H42" i="19"/>
  <c r="F42" i="19"/>
  <c r="H41" i="19"/>
  <c r="F41" i="19"/>
  <c r="H40" i="19"/>
  <c r="F40" i="19"/>
  <c r="H39" i="19"/>
  <c r="F39" i="19"/>
  <c r="H38" i="19"/>
  <c r="F38" i="19"/>
  <c r="H37" i="19"/>
  <c r="F37" i="19"/>
  <c r="H36" i="19"/>
  <c r="F36" i="19"/>
  <c r="H35" i="19"/>
  <c r="F35" i="19"/>
  <c r="H34" i="19"/>
  <c r="F34" i="19"/>
  <c r="H33" i="19"/>
  <c r="F33" i="19"/>
  <c r="H32" i="19"/>
  <c r="F32" i="19"/>
  <c r="H31" i="19"/>
  <c r="F31" i="19"/>
  <c r="H30" i="19"/>
  <c r="F30" i="19"/>
  <c r="H29" i="19"/>
  <c r="F29" i="19"/>
  <c r="H28" i="19"/>
  <c r="F28" i="19"/>
  <c r="H27" i="19"/>
  <c r="F27" i="19"/>
  <c r="H26" i="19"/>
  <c r="F26" i="19"/>
  <c r="H25" i="19"/>
  <c r="F25" i="19"/>
  <c r="H24" i="19"/>
  <c r="F24" i="19"/>
  <c r="H23" i="19"/>
  <c r="F23" i="19"/>
  <c r="H22" i="19"/>
  <c r="F22" i="19"/>
  <c r="H21" i="19"/>
  <c r="F21" i="19"/>
  <c r="H20" i="19"/>
  <c r="F20" i="19"/>
  <c r="H19" i="19"/>
  <c r="F19" i="19"/>
  <c r="H18" i="19"/>
  <c r="F18" i="19"/>
  <c r="H17" i="19"/>
  <c r="F17" i="19"/>
  <c r="H16" i="19"/>
  <c r="F16" i="19"/>
  <c r="H15" i="19"/>
  <c r="F15" i="19"/>
  <c r="H14" i="19"/>
  <c r="F14" i="19"/>
  <c r="H13" i="19"/>
  <c r="F13" i="19"/>
  <c r="H12" i="19"/>
  <c r="F12" i="19"/>
  <c r="H11" i="19"/>
  <c r="F11" i="19"/>
  <c r="H10" i="19"/>
  <c r="F10" i="19"/>
  <c r="H9" i="19"/>
  <c r="F9" i="19"/>
  <c r="H8" i="19"/>
  <c r="F8" i="19"/>
  <c r="H7" i="19"/>
  <c r="F7" i="19"/>
  <c r="H6" i="19"/>
  <c r="F6" i="19"/>
  <c r="G9" i="14"/>
  <c r="I9" i="14"/>
  <c r="K9" i="14"/>
  <c r="O9" i="14"/>
  <c r="Q9" i="14"/>
  <c r="V9" i="14"/>
  <c r="G10" i="14"/>
  <c r="M10" i="14" s="1"/>
  <c r="I10" i="14"/>
  <c r="K10" i="14"/>
  <c r="O10" i="14"/>
  <c r="Q10" i="14"/>
  <c r="V10" i="14"/>
  <c r="G13" i="14"/>
  <c r="M13" i="14" s="1"/>
  <c r="I13" i="14"/>
  <c r="K13" i="14"/>
  <c r="O13" i="14"/>
  <c r="Q13" i="14"/>
  <c r="V13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3" i="14"/>
  <c r="M23" i="14" s="1"/>
  <c r="I23" i="14"/>
  <c r="K23" i="14"/>
  <c r="Q23" i="14"/>
  <c r="V23" i="14"/>
  <c r="G26" i="14"/>
  <c r="M26" i="14" s="1"/>
  <c r="I26" i="14"/>
  <c r="K26" i="14"/>
  <c r="O26" i="14"/>
  <c r="Q26" i="14"/>
  <c r="V26" i="14"/>
  <c r="G28" i="14"/>
  <c r="M28" i="14" s="1"/>
  <c r="I28" i="14"/>
  <c r="K28" i="14"/>
  <c r="O28" i="14"/>
  <c r="Q28" i="14"/>
  <c r="V28" i="14"/>
  <c r="G31" i="14"/>
  <c r="M31" i="14" s="1"/>
  <c r="I31" i="14"/>
  <c r="K31" i="14"/>
  <c r="O31" i="14"/>
  <c r="Q31" i="14"/>
  <c r="V31" i="14"/>
  <c r="G33" i="14"/>
  <c r="M33" i="14" s="1"/>
  <c r="I33" i="14"/>
  <c r="K33" i="14"/>
  <c r="O33" i="14"/>
  <c r="Q33" i="14"/>
  <c r="V33" i="14"/>
  <c r="G35" i="14"/>
  <c r="M35" i="14" s="1"/>
  <c r="I35" i="14"/>
  <c r="K35" i="14"/>
  <c r="O35" i="14"/>
  <c r="Q35" i="14"/>
  <c r="V35" i="14"/>
  <c r="G37" i="14"/>
  <c r="M37" i="14" s="1"/>
  <c r="I37" i="14"/>
  <c r="K37" i="14"/>
  <c r="O37" i="14"/>
  <c r="Q37" i="14"/>
  <c r="V37" i="14"/>
  <c r="G40" i="14"/>
  <c r="M40" i="14" s="1"/>
  <c r="I40" i="14"/>
  <c r="K40" i="14"/>
  <c r="O40" i="14"/>
  <c r="Q40" i="14"/>
  <c r="V40" i="14"/>
  <c r="G42" i="14"/>
  <c r="I42" i="14"/>
  <c r="K42" i="14"/>
  <c r="O42" i="14"/>
  <c r="Q42" i="14"/>
  <c r="V42" i="14"/>
  <c r="G44" i="14"/>
  <c r="M44" i="14" s="1"/>
  <c r="I44" i="14"/>
  <c r="K44" i="14"/>
  <c r="O44" i="14"/>
  <c r="Q44" i="14"/>
  <c r="V44" i="14"/>
  <c r="G46" i="14"/>
  <c r="M46" i="14" s="1"/>
  <c r="I46" i="14"/>
  <c r="K46" i="14"/>
  <c r="O46" i="14"/>
  <c r="Q46" i="14"/>
  <c r="V46" i="14"/>
  <c r="G48" i="14"/>
  <c r="M48" i="14" s="1"/>
  <c r="I48" i="14"/>
  <c r="K48" i="14"/>
  <c r="O48" i="14"/>
  <c r="Q48" i="14"/>
  <c r="V48" i="14"/>
  <c r="G50" i="14"/>
  <c r="M50" i="14" s="1"/>
  <c r="I50" i="14"/>
  <c r="K50" i="14"/>
  <c r="O50" i="14"/>
  <c r="Q50" i="14"/>
  <c r="V50" i="14"/>
  <c r="G53" i="14"/>
  <c r="M53" i="14" s="1"/>
  <c r="I53" i="14"/>
  <c r="K53" i="14"/>
  <c r="O53" i="14"/>
  <c r="Q53" i="14"/>
  <c r="V53" i="14"/>
  <c r="G54" i="14"/>
  <c r="M54" i="14" s="1"/>
  <c r="I54" i="14"/>
  <c r="K54" i="14"/>
  <c r="Q54" i="14"/>
  <c r="V54" i="14"/>
  <c r="G55" i="14"/>
  <c r="M55" i="14" s="1"/>
  <c r="I55" i="14"/>
  <c r="K55" i="14"/>
  <c r="O55" i="14"/>
  <c r="Q55" i="14"/>
  <c r="V55" i="14"/>
  <c r="G57" i="14"/>
  <c r="M57" i="14" s="1"/>
  <c r="I57" i="14"/>
  <c r="K57" i="14"/>
  <c r="O57" i="14"/>
  <c r="Q57" i="14"/>
  <c r="V57" i="14"/>
  <c r="G59" i="14"/>
  <c r="M59" i="14" s="1"/>
  <c r="I59" i="14"/>
  <c r="K59" i="14"/>
  <c r="O59" i="14"/>
  <c r="Q59" i="14"/>
  <c r="V59" i="14"/>
  <c r="G61" i="14"/>
  <c r="M61" i="14" s="1"/>
  <c r="I61" i="14"/>
  <c r="K61" i="14"/>
  <c r="O61" i="14"/>
  <c r="Q61" i="14"/>
  <c r="V61" i="14"/>
  <c r="G65" i="14"/>
  <c r="M65" i="14" s="1"/>
  <c r="I65" i="14"/>
  <c r="K65" i="14"/>
  <c r="O65" i="14"/>
  <c r="Q65" i="14"/>
  <c r="V65" i="14"/>
  <c r="G68" i="14"/>
  <c r="M68" i="14" s="1"/>
  <c r="I68" i="14"/>
  <c r="K68" i="14"/>
  <c r="O68" i="14"/>
  <c r="Q68" i="14"/>
  <c r="V68" i="14"/>
  <c r="G70" i="14"/>
  <c r="M70" i="14" s="1"/>
  <c r="I70" i="14"/>
  <c r="K70" i="14"/>
  <c r="O70" i="14"/>
  <c r="Q70" i="14"/>
  <c r="V70" i="14"/>
  <c r="G72" i="14"/>
  <c r="I72" i="14"/>
  <c r="K72" i="14"/>
  <c r="O72" i="14"/>
  <c r="Q72" i="14"/>
  <c r="V72" i="14"/>
  <c r="G74" i="14"/>
  <c r="M74" i="14" s="1"/>
  <c r="I74" i="14"/>
  <c r="K74" i="14"/>
  <c r="O74" i="14"/>
  <c r="Q74" i="14"/>
  <c r="V74" i="14"/>
  <c r="G81" i="14"/>
  <c r="M81" i="14" s="1"/>
  <c r="I81" i="14"/>
  <c r="K81" i="14"/>
  <c r="O81" i="14"/>
  <c r="Q81" i="14"/>
  <c r="V81" i="14"/>
  <c r="G83" i="14"/>
  <c r="M83" i="14" s="1"/>
  <c r="I83" i="14"/>
  <c r="K83" i="14"/>
  <c r="O83" i="14"/>
  <c r="Q83" i="14"/>
  <c r="V83" i="14"/>
  <c r="G85" i="14"/>
  <c r="M85" i="14" s="1"/>
  <c r="I85" i="14"/>
  <c r="K85" i="14"/>
  <c r="O85" i="14"/>
  <c r="Q85" i="14"/>
  <c r="V85" i="14"/>
  <c r="G88" i="14"/>
  <c r="M88" i="14" s="1"/>
  <c r="M87" i="14" s="1"/>
  <c r="I88" i="14"/>
  <c r="I87" i="14" s="1"/>
  <c r="K88" i="14"/>
  <c r="K87" i="14" s="1"/>
  <c r="O88" i="14"/>
  <c r="O87" i="14" s="1"/>
  <c r="Q88" i="14"/>
  <c r="Q87" i="14" s="1"/>
  <c r="V88" i="14"/>
  <c r="V87" i="14" s="1"/>
  <c r="G91" i="14"/>
  <c r="M91" i="14" s="1"/>
  <c r="I91" i="14"/>
  <c r="K91" i="14"/>
  <c r="O91" i="14"/>
  <c r="Q91" i="14"/>
  <c r="V91" i="14"/>
  <c r="G92" i="14"/>
  <c r="M92" i="14" s="1"/>
  <c r="I92" i="14"/>
  <c r="K92" i="14"/>
  <c r="O92" i="14"/>
  <c r="Q92" i="14"/>
  <c r="V92" i="14"/>
  <c r="G93" i="14"/>
  <c r="M93" i="14" s="1"/>
  <c r="I93" i="14"/>
  <c r="K93" i="14"/>
  <c r="O93" i="14"/>
  <c r="Q93" i="14"/>
  <c r="V93" i="14"/>
  <c r="G94" i="14"/>
  <c r="M94" i="14" s="1"/>
  <c r="I94" i="14"/>
  <c r="K94" i="14"/>
  <c r="O94" i="14"/>
  <c r="Q94" i="14"/>
  <c r="V94" i="14"/>
  <c r="G95" i="14"/>
  <c r="M95" i="14" s="1"/>
  <c r="I95" i="14"/>
  <c r="K95" i="14"/>
  <c r="O95" i="14"/>
  <c r="Q95" i="14"/>
  <c r="V95" i="14"/>
  <c r="G96" i="14"/>
  <c r="I96" i="14"/>
  <c r="K96" i="14"/>
  <c r="O96" i="14"/>
  <c r="Q96" i="14"/>
  <c r="V96" i="14"/>
  <c r="G98" i="14"/>
  <c r="M98" i="14" s="1"/>
  <c r="I98" i="14"/>
  <c r="K98" i="14"/>
  <c r="O98" i="14"/>
  <c r="Q98" i="14"/>
  <c r="V98" i="14"/>
  <c r="G100" i="14"/>
  <c r="M100" i="14" s="1"/>
  <c r="M99" i="14" s="1"/>
  <c r="I100" i="14"/>
  <c r="I99" i="14" s="1"/>
  <c r="K100" i="14"/>
  <c r="K99" i="14" s="1"/>
  <c r="O100" i="14"/>
  <c r="O99" i="14" s="1"/>
  <c r="Q100" i="14"/>
  <c r="Q99" i="14" s="1"/>
  <c r="V100" i="14"/>
  <c r="V99" i="14" s="1"/>
  <c r="G103" i="14"/>
  <c r="M103" i="14" s="1"/>
  <c r="I103" i="14"/>
  <c r="K103" i="14"/>
  <c r="O103" i="14"/>
  <c r="Q103" i="14"/>
  <c r="V103" i="14"/>
  <c r="G106" i="14"/>
  <c r="M106" i="14" s="1"/>
  <c r="I106" i="14"/>
  <c r="K106" i="14"/>
  <c r="O106" i="14"/>
  <c r="Q106" i="14"/>
  <c r="V106" i="14"/>
  <c r="G107" i="14"/>
  <c r="M107" i="14" s="1"/>
  <c r="I107" i="14"/>
  <c r="K107" i="14"/>
  <c r="O107" i="14"/>
  <c r="Q107" i="14"/>
  <c r="V107" i="14"/>
  <c r="G110" i="14"/>
  <c r="M110" i="14" s="1"/>
  <c r="M109" i="14" s="1"/>
  <c r="I110" i="14"/>
  <c r="I109" i="14" s="1"/>
  <c r="K110" i="14"/>
  <c r="K109" i="14" s="1"/>
  <c r="O110" i="14"/>
  <c r="O109" i="14" s="1"/>
  <c r="Q110" i="14"/>
  <c r="Q109" i="14" s="1"/>
  <c r="V110" i="14"/>
  <c r="V109" i="14" s="1"/>
  <c r="G116" i="14"/>
  <c r="M116" i="14" s="1"/>
  <c r="I116" i="14"/>
  <c r="K116" i="14"/>
  <c r="O116" i="14"/>
  <c r="Q116" i="14"/>
  <c r="V116" i="14"/>
  <c r="G118" i="14"/>
  <c r="M118" i="14" s="1"/>
  <c r="I118" i="14"/>
  <c r="K118" i="14"/>
  <c r="O118" i="14"/>
  <c r="Q118" i="14"/>
  <c r="V118" i="14"/>
  <c r="G119" i="14"/>
  <c r="M119" i="14" s="1"/>
  <c r="I119" i="14"/>
  <c r="K119" i="14"/>
  <c r="O119" i="14"/>
  <c r="Q119" i="14"/>
  <c r="V119" i="14"/>
  <c r="G120" i="14"/>
  <c r="I120" i="14"/>
  <c r="K120" i="14"/>
  <c r="O120" i="14"/>
  <c r="Q120" i="14"/>
  <c r="V120" i="14"/>
  <c r="G121" i="14"/>
  <c r="M121" i="14" s="1"/>
  <c r="I121" i="14"/>
  <c r="K121" i="14"/>
  <c r="O121" i="14"/>
  <c r="Q121" i="14"/>
  <c r="V121" i="14"/>
  <c r="G122" i="14"/>
  <c r="M122" i="14" s="1"/>
  <c r="I122" i="14"/>
  <c r="K122" i="14"/>
  <c r="O122" i="14"/>
  <c r="Q122" i="14"/>
  <c r="V122" i="14"/>
  <c r="G123" i="14"/>
  <c r="M123" i="14" s="1"/>
  <c r="I123" i="14"/>
  <c r="K123" i="14"/>
  <c r="O123" i="14"/>
  <c r="Q123" i="14"/>
  <c r="V123" i="14"/>
  <c r="G124" i="14"/>
  <c r="M124" i="14" s="1"/>
  <c r="I124" i="14"/>
  <c r="K124" i="14"/>
  <c r="O124" i="14"/>
  <c r="Q124" i="14"/>
  <c r="V124" i="14"/>
  <c r="G125" i="14"/>
  <c r="M125" i="14" s="1"/>
  <c r="I125" i="14"/>
  <c r="K125" i="14"/>
  <c r="O125" i="14"/>
  <c r="E146" i="14" s="1"/>
  <c r="Q125" i="14"/>
  <c r="V125" i="14"/>
  <c r="G128" i="14"/>
  <c r="M128" i="14" s="1"/>
  <c r="I128" i="14"/>
  <c r="K128" i="14"/>
  <c r="O128" i="14"/>
  <c r="Q128" i="14"/>
  <c r="V128" i="14"/>
  <c r="G131" i="14"/>
  <c r="M131" i="14" s="1"/>
  <c r="I131" i="14"/>
  <c r="K131" i="14"/>
  <c r="O131" i="14"/>
  <c r="Q131" i="14"/>
  <c r="V131" i="14"/>
  <c r="G132" i="14"/>
  <c r="M132" i="14" s="1"/>
  <c r="I132" i="14"/>
  <c r="K132" i="14"/>
  <c r="O132" i="14"/>
  <c r="Q132" i="14"/>
  <c r="V132" i="14"/>
  <c r="G134" i="14"/>
  <c r="M134" i="14" s="1"/>
  <c r="I134" i="14"/>
  <c r="K134" i="14"/>
  <c r="O134" i="14"/>
  <c r="Q134" i="14"/>
  <c r="V134" i="14"/>
  <c r="G137" i="14"/>
  <c r="M137" i="14" s="1"/>
  <c r="I137" i="14"/>
  <c r="K137" i="14"/>
  <c r="O137" i="14"/>
  <c r="Q137" i="14"/>
  <c r="V137" i="14"/>
  <c r="G140" i="14"/>
  <c r="M140" i="14" s="1"/>
  <c r="I140" i="14"/>
  <c r="K140" i="14"/>
  <c r="O140" i="14"/>
  <c r="Q140" i="14"/>
  <c r="V140" i="14"/>
  <c r="G152" i="14"/>
  <c r="M152" i="14" s="1"/>
  <c r="I152" i="14"/>
  <c r="K152" i="14"/>
  <c r="O152" i="14"/>
  <c r="Q152" i="14"/>
  <c r="V152" i="14"/>
  <c r="G153" i="14"/>
  <c r="M153" i="14" s="1"/>
  <c r="I153" i="14"/>
  <c r="K153" i="14"/>
  <c r="O153" i="14"/>
  <c r="Q153" i="14"/>
  <c r="V153" i="14"/>
  <c r="G154" i="14"/>
  <c r="M154" i="14" s="1"/>
  <c r="I154" i="14"/>
  <c r="K154" i="14"/>
  <c r="O154" i="14"/>
  <c r="Q154" i="14"/>
  <c r="V154" i="14"/>
  <c r="G156" i="14"/>
  <c r="I156" i="14"/>
  <c r="K156" i="14"/>
  <c r="O156" i="14"/>
  <c r="Q156" i="14"/>
  <c r="V156" i="14"/>
  <c r="G157" i="14"/>
  <c r="M157" i="14" s="1"/>
  <c r="I157" i="14"/>
  <c r="K157" i="14"/>
  <c r="O157" i="14"/>
  <c r="Q157" i="14"/>
  <c r="V157" i="14"/>
  <c r="G159" i="14"/>
  <c r="M159" i="14" s="1"/>
  <c r="I159" i="14"/>
  <c r="K159" i="14"/>
  <c r="O159" i="14"/>
  <c r="Q159" i="14"/>
  <c r="V159" i="14"/>
  <c r="G164" i="14"/>
  <c r="I164" i="14"/>
  <c r="K164" i="14"/>
  <c r="O164" i="14"/>
  <c r="Q164" i="14"/>
  <c r="V164" i="14"/>
  <c r="G165" i="14"/>
  <c r="M165" i="14" s="1"/>
  <c r="I165" i="14"/>
  <c r="K165" i="14"/>
  <c r="O165" i="14"/>
  <c r="Q165" i="14"/>
  <c r="V165" i="14"/>
  <c r="G166" i="14"/>
  <c r="M166" i="14" s="1"/>
  <c r="I166" i="14"/>
  <c r="K166" i="14"/>
  <c r="O166" i="14"/>
  <c r="Q166" i="14"/>
  <c r="V166" i="14"/>
  <c r="G169" i="14"/>
  <c r="M169" i="14" s="1"/>
  <c r="I169" i="14"/>
  <c r="K169" i="14"/>
  <c r="O169" i="14"/>
  <c r="Q169" i="14"/>
  <c r="V169" i="14"/>
  <c r="G172" i="14"/>
  <c r="M172" i="14" s="1"/>
  <c r="I172" i="14"/>
  <c r="K172" i="14"/>
  <c r="O172" i="14"/>
  <c r="Q172" i="14"/>
  <c r="V172" i="14"/>
  <c r="G174" i="14"/>
  <c r="M174" i="14" s="1"/>
  <c r="I174" i="14"/>
  <c r="K174" i="14"/>
  <c r="O174" i="14"/>
  <c r="Q174" i="14"/>
  <c r="V174" i="14"/>
  <c r="G176" i="14"/>
  <c r="M176" i="14" s="1"/>
  <c r="I176" i="14"/>
  <c r="K176" i="14"/>
  <c r="O176" i="14"/>
  <c r="Q176" i="14"/>
  <c r="V176" i="14"/>
  <c r="G180" i="14"/>
  <c r="I180" i="14"/>
  <c r="K180" i="14"/>
  <c r="O180" i="14"/>
  <c r="E183" i="14" s="1"/>
  <c r="Q180" i="14"/>
  <c r="V180" i="14"/>
  <c r="G181" i="14"/>
  <c r="M181" i="14" s="1"/>
  <c r="I181" i="14"/>
  <c r="K181" i="14"/>
  <c r="O181" i="14"/>
  <c r="E184" i="14" s="1"/>
  <c r="Q181" i="14"/>
  <c r="V181" i="14"/>
  <c r="G186" i="14"/>
  <c r="I186" i="14"/>
  <c r="K186" i="14"/>
  <c r="O186" i="14"/>
  <c r="Q186" i="14"/>
  <c r="V186" i="14"/>
  <c r="G188" i="14"/>
  <c r="M188" i="14" s="1"/>
  <c r="I188" i="14"/>
  <c r="K188" i="14"/>
  <c r="O188" i="14"/>
  <c r="Q188" i="14"/>
  <c r="V188" i="14"/>
  <c r="G190" i="14"/>
  <c r="M190" i="14" s="1"/>
  <c r="I190" i="14"/>
  <c r="K190" i="14"/>
  <c r="O190" i="14"/>
  <c r="Q190" i="14"/>
  <c r="V190" i="14"/>
  <c r="G194" i="14"/>
  <c r="I194" i="14"/>
  <c r="K194" i="14"/>
  <c r="O194" i="14"/>
  <c r="Q194" i="14"/>
  <c r="V194" i="14"/>
  <c r="G196" i="14"/>
  <c r="M196" i="14" s="1"/>
  <c r="I196" i="14"/>
  <c r="K196" i="14"/>
  <c r="O196" i="14"/>
  <c r="Q196" i="14"/>
  <c r="V196" i="14"/>
  <c r="G198" i="14"/>
  <c r="M198" i="14" s="1"/>
  <c r="I198" i="14"/>
  <c r="K198" i="14"/>
  <c r="O198" i="14"/>
  <c r="Q198" i="14"/>
  <c r="V198" i="14"/>
  <c r="G199" i="14"/>
  <c r="M199" i="14" s="1"/>
  <c r="I199" i="14"/>
  <c r="K199" i="14"/>
  <c r="O199" i="14"/>
  <c r="Q199" i="14"/>
  <c r="V199" i="14"/>
  <c r="G200" i="14"/>
  <c r="M200" i="14" s="1"/>
  <c r="I200" i="14"/>
  <c r="K200" i="14"/>
  <c r="O200" i="14"/>
  <c r="Q200" i="14"/>
  <c r="V200" i="14"/>
  <c r="G206" i="14"/>
  <c r="I206" i="14"/>
  <c r="K206" i="14"/>
  <c r="O206" i="14"/>
  <c r="Q206" i="14"/>
  <c r="V206" i="14"/>
  <c r="G207" i="14"/>
  <c r="M207" i="14" s="1"/>
  <c r="I207" i="14"/>
  <c r="K207" i="14"/>
  <c r="O207" i="14"/>
  <c r="Q207" i="14"/>
  <c r="V207" i="14"/>
  <c r="G209" i="14"/>
  <c r="M209" i="14" s="1"/>
  <c r="I209" i="14"/>
  <c r="K209" i="14"/>
  <c r="O209" i="14"/>
  <c r="Q209" i="14"/>
  <c r="V209" i="14"/>
  <c r="G210" i="14"/>
  <c r="M210" i="14" s="1"/>
  <c r="I210" i="14"/>
  <c r="K210" i="14"/>
  <c r="O210" i="14"/>
  <c r="Q210" i="14"/>
  <c r="V210" i="14"/>
  <c r="G212" i="14"/>
  <c r="M212" i="14" s="1"/>
  <c r="I212" i="14"/>
  <c r="K212" i="14"/>
  <c r="O212" i="14"/>
  <c r="Q212" i="14"/>
  <c r="V212" i="14"/>
  <c r="G214" i="14"/>
  <c r="M214" i="14" s="1"/>
  <c r="I214" i="14"/>
  <c r="K214" i="14"/>
  <c r="O214" i="14"/>
  <c r="Q214" i="14"/>
  <c r="V214" i="14"/>
  <c r="G216" i="14"/>
  <c r="M216" i="14" s="1"/>
  <c r="I216" i="14"/>
  <c r="K216" i="14"/>
  <c r="O216" i="14"/>
  <c r="Q216" i="14"/>
  <c r="V216" i="14"/>
  <c r="G217" i="14"/>
  <c r="M217" i="14" s="1"/>
  <c r="I217" i="14"/>
  <c r="K217" i="14"/>
  <c r="O217" i="14"/>
  <c r="Q217" i="14"/>
  <c r="V217" i="14"/>
  <c r="G224" i="14"/>
  <c r="M224" i="14" s="1"/>
  <c r="I224" i="14"/>
  <c r="K224" i="14"/>
  <c r="O224" i="14"/>
  <c r="Q224" i="14"/>
  <c r="V224" i="14"/>
  <c r="G225" i="14"/>
  <c r="M225" i="14" s="1"/>
  <c r="I225" i="14"/>
  <c r="K225" i="14"/>
  <c r="O225" i="14"/>
  <c r="Q225" i="14"/>
  <c r="V225" i="14"/>
  <c r="G227" i="14"/>
  <c r="M227" i="14" s="1"/>
  <c r="I227" i="14"/>
  <c r="K227" i="14"/>
  <c r="O227" i="14"/>
  <c r="Q227" i="14"/>
  <c r="V227" i="14"/>
  <c r="G240" i="14"/>
  <c r="I240" i="14"/>
  <c r="K240" i="14"/>
  <c r="O240" i="14"/>
  <c r="Q240" i="14"/>
  <c r="V240" i="14"/>
  <c r="G241" i="14"/>
  <c r="M241" i="14" s="1"/>
  <c r="I241" i="14"/>
  <c r="K241" i="14"/>
  <c r="O241" i="14"/>
  <c r="Q241" i="14"/>
  <c r="V241" i="14"/>
  <c r="G242" i="14"/>
  <c r="M242" i="14" s="1"/>
  <c r="I242" i="14"/>
  <c r="K242" i="14"/>
  <c r="O242" i="14"/>
  <c r="Q242" i="14"/>
  <c r="V242" i="14"/>
  <c r="G243" i="14"/>
  <c r="M243" i="14" s="1"/>
  <c r="I243" i="14"/>
  <c r="K243" i="14"/>
  <c r="O243" i="14"/>
  <c r="Q243" i="14"/>
  <c r="V243" i="14"/>
  <c r="G244" i="14"/>
  <c r="M244" i="14" s="1"/>
  <c r="I244" i="14"/>
  <c r="K244" i="14"/>
  <c r="O244" i="14"/>
  <c r="Q244" i="14"/>
  <c r="V244" i="14"/>
  <c r="G246" i="14"/>
  <c r="M246" i="14" s="1"/>
  <c r="I246" i="14"/>
  <c r="K246" i="14"/>
  <c r="O246" i="14"/>
  <c r="Q246" i="14"/>
  <c r="V246" i="14"/>
  <c r="G248" i="14"/>
  <c r="M248" i="14" s="1"/>
  <c r="I248" i="14"/>
  <c r="K248" i="14"/>
  <c r="O248" i="14"/>
  <c r="Q248" i="14"/>
  <c r="V248" i="14"/>
  <c r="G249" i="14"/>
  <c r="M249" i="14" s="1"/>
  <c r="I249" i="14"/>
  <c r="K249" i="14"/>
  <c r="O249" i="14"/>
  <c r="Q249" i="14"/>
  <c r="V249" i="14"/>
  <c r="G257" i="14"/>
  <c r="M257" i="14" s="1"/>
  <c r="I257" i="14"/>
  <c r="K257" i="14"/>
  <c r="O257" i="14"/>
  <c r="Q257" i="14"/>
  <c r="V257" i="14"/>
  <c r="G261" i="14"/>
  <c r="I261" i="14"/>
  <c r="K261" i="14"/>
  <c r="O261" i="14"/>
  <c r="Q261" i="14"/>
  <c r="V261" i="14"/>
  <c r="G263" i="14"/>
  <c r="M263" i="14" s="1"/>
  <c r="I263" i="14"/>
  <c r="K263" i="14"/>
  <c r="O263" i="14"/>
  <c r="Q263" i="14"/>
  <c r="V263" i="14"/>
  <c r="G266" i="14"/>
  <c r="M266" i="14" s="1"/>
  <c r="I266" i="14"/>
  <c r="K266" i="14"/>
  <c r="O266" i="14"/>
  <c r="Q266" i="14"/>
  <c r="V266" i="14"/>
  <c r="G268" i="14"/>
  <c r="M268" i="14" s="1"/>
  <c r="I268" i="14"/>
  <c r="K268" i="14"/>
  <c r="O268" i="14"/>
  <c r="Q268" i="14"/>
  <c r="V268" i="14"/>
  <c r="G270" i="14"/>
  <c r="M270" i="14" s="1"/>
  <c r="I270" i="14"/>
  <c r="K270" i="14"/>
  <c r="O270" i="14"/>
  <c r="Q270" i="14"/>
  <c r="V270" i="14"/>
  <c r="G271" i="14"/>
  <c r="M271" i="14" s="1"/>
  <c r="I271" i="14"/>
  <c r="K271" i="14"/>
  <c r="O271" i="14"/>
  <c r="Q271" i="14"/>
  <c r="V271" i="14"/>
  <c r="G279" i="14"/>
  <c r="M279" i="14" s="1"/>
  <c r="I279" i="14"/>
  <c r="K279" i="14"/>
  <c r="O279" i="14"/>
  <c r="Q279" i="14"/>
  <c r="V279" i="14"/>
  <c r="G281" i="14"/>
  <c r="I281" i="14"/>
  <c r="K281" i="14"/>
  <c r="O281" i="14"/>
  <c r="Q281" i="14"/>
  <c r="V281" i="14"/>
  <c r="G285" i="14"/>
  <c r="M285" i="14" s="1"/>
  <c r="I285" i="14"/>
  <c r="K285" i="14"/>
  <c r="O285" i="14"/>
  <c r="Q285" i="14"/>
  <c r="V285" i="14"/>
  <c r="G287" i="14"/>
  <c r="M287" i="14" s="1"/>
  <c r="I287" i="14"/>
  <c r="K287" i="14"/>
  <c r="O287" i="14"/>
  <c r="Q287" i="14"/>
  <c r="V287" i="14"/>
  <c r="G290" i="14"/>
  <c r="M290" i="14" s="1"/>
  <c r="I290" i="14"/>
  <c r="K290" i="14"/>
  <c r="O290" i="14"/>
  <c r="Q290" i="14"/>
  <c r="V290" i="14"/>
  <c r="G291" i="14"/>
  <c r="M291" i="14" s="1"/>
  <c r="I291" i="14"/>
  <c r="K291" i="14"/>
  <c r="O291" i="14"/>
  <c r="Q291" i="14"/>
  <c r="V291" i="14"/>
  <c r="AE293" i="14"/>
  <c r="F43" i="1" s="1"/>
  <c r="G9" i="13"/>
  <c r="M9" i="13" s="1"/>
  <c r="I9" i="13"/>
  <c r="K9" i="13"/>
  <c r="O9" i="13"/>
  <c r="Q9" i="13"/>
  <c r="V9" i="13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5" i="13"/>
  <c r="M15" i="13" s="1"/>
  <c r="I15" i="13"/>
  <c r="K15" i="13"/>
  <c r="O15" i="13"/>
  <c r="Q15" i="13"/>
  <c r="V15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M47" i="13" s="1"/>
  <c r="I47" i="13"/>
  <c r="K47" i="13"/>
  <c r="O47" i="13"/>
  <c r="Q47" i="13"/>
  <c r="V47" i="13"/>
  <c r="AE49" i="13"/>
  <c r="F42" i="1" s="1"/>
  <c r="I9" i="12"/>
  <c r="K9" i="12"/>
  <c r="K8" i="12" s="1"/>
  <c r="O9" i="12"/>
  <c r="O8" i="12" s="1"/>
  <c r="Q9" i="12"/>
  <c r="V9" i="12"/>
  <c r="I10" i="12"/>
  <c r="K10" i="12"/>
  <c r="O10" i="12"/>
  <c r="Q10" i="12"/>
  <c r="V10" i="12"/>
  <c r="I11" i="12"/>
  <c r="K11" i="12"/>
  <c r="O11" i="12"/>
  <c r="Q11" i="12"/>
  <c r="V11" i="12"/>
  <c r="I12" i="12"/>
  <c r="K12" i="12"/>
  <c r="O12" i="12"/>
  <c r="Q12" i="12"/>
  <c r="V12" i="12"/>
  <c r="AE14" i="12"/>
  <c r="F41" i="1" s="1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I8" i="12" l="1"/>
  <c r="V8" i="13"/>
  <c r="Q8" i="13"/>
  <c r="K73" i="15"/>
  <c r="O8" i="13"/>
  <c r="K89" i="15"/>
  <c r="K8" i="13"/>
  <c r="V8" i="12"/>
  <c r="I8" i="13"/>
  <c r="K143" i="15"/>
  <c r="Q8" i="12"/>
  <c r="K33" i="15"/>
  <c r="K37" i="15"/>
  <c r="K54" i="15"/>
  <c r="K58" i="15"/>
  <c r="K62" i="15"/>
  <c r="K67" i="15"/>
  <c r="K71" i="15"/>
  <c r="K83" i="15"/>
  <c r="K103" i="15"/>
  <c r="K107" i="15"/>
  <c r="K112" i="15"/>
  <c r="K116" i="15"/>
  <c r="K120" i="15"/>
  <c r="K128" i="15"/>
  <c r="K132" i="15"/>
  <c r="K136" i="15"/>
  <c r="K140" i="15"/>
  <c r="K144" i="15"/>
  <c r="K148" i="15"/>
  <c r="K156" i="15"/>
  <c r="K168" i="15"/>
  <c r="K176" i="15"/>
  <c r="K40" i="16"/>
  <c r="K8" i="15"/>
  <c r="K9" i="15"/>
  <c r="K10" i="15"/>
  <c r="K32" i="15"/>
  <c r="K36" i="15"/>
  <c r="K42" i="15"/>
  <c r="K53" i="15"/>
  <c r="K57" i="15"/>
  <c r="K61" i="15"/>
  <c r="K65" i="15"/>
  <c r="K74" i="15"/>
  <c r="K78" i="15"/>
  <c r="K82" i="15"/>
  <c r="K98" i="15"/>
  <c r="K101" i="15"/>
  <c r="K102" i="15"/>
  <c r="K106" i="15"/>
  <c r="K110" i="15"/>
  <c r="K122" i="15"/>
  <c r="K127" i="15"/>
  <c r="K146" i="15"/>
  <c r="K158" i="15"/>
  <c r="K175" i="15"/>
  <c r="K167" i="15"/>
  <c r="K155" i="15"/>
  <c r="K151" i="15"/>
  <c r="K119" i="15"/>
  <c r="K115" i="15"/>
  <c r="K109" i="15"/>
  <c r="K105" i="15"/>
  <c r="K99" i="15"/>
  <c r="K96" i="15"/>
  <c r="K88" i="15"/>
  <c r="K87" i="15"/>
  <c r="K84" i="15"/>
  <c r="K77" i="15"/>
  <c r="K75" i="15"/>
  <c r="K69" i="15"/>
  <c r="K59" i="15"/>
  <c r="K44" i="15"/>
  <c r="K38" i="15"/>
  <c r="K30" i="15"/>
  <c r="K26" i="15"/>
  <c r="K22" i="15" s="1"/>
  <c r="K18" i="15"/>
  <c r="K177" i="15"/>
  <c r="K35" i="16"/>
  <c r="K29" i="16"/>
  <c r="K20" i="16"/>
  <c r="I5" i="16"/>
  <c r="G5" i="16"/>
  <c r="H104" i="19"/>
  <c r="H87" i="19"/>
  <c r="H66" i="19"/>
  <c r="H46" i="19"/>
  <c r="G8" i="13"/>
  <c r="G49" i="13" s="1"/>
  <c r="K10" i="16"/>
  <c r="K165" i="15"/>
  <c r="K170" i="15"/>
  <c r="K174" i="15"/>
  <c r="K160" i="15"/>
  <c r="K159" i="15"/>
  <c r="K152" i="15"/>
  <c r="K141" i="15"/>
  <c r="K142" i="15"/>
  <c r="K139" i="15"/>
  <c r="K147" i="15"/>
  <c r="K129" i="15"/>
  <c r="K133" i="15"/>
  <c r="K137" i="15"/>
  <c r="K130" i="15"/>
  <c r="K124" i="15"/>
  <c r="K131" i="15"/>
  <c r="K135" i="15"/>
  <c r="K123" i="15"/>
  <c r="K117" i="15"/>
  <c r="K114" i="15"/>
  <c r="K118" i="15"/>
  <c r="K93" i="15"/>
  <c r="K90" i="15"/>
  <c r="K94" i="15"/>
  <c r="K91" i="15"/>
  <c r="K95" i="15"/>
  <c r="K80" i="15"/>
  <c r="K85" i="15"/>
  <c r="K86" i="15"/>
  <c r="K79" i="15"/>
  <c r="K70" i="15"/>
  <c r="K7" i="15"/>
  <c r="K21" i="15"/>
  <c r="K34" i="15"/>
  <c r="K50" i="15"/>
  <c r="K5" i="15"/>
  <c r="K16" i="15"/>
  <c r="K40" i="15"/>
  <c r="K55" i="15"/>
  <c r="K63" i="15"/>
  <c r="K6" i="15"/>
  <c r="K17" i="15"/>
  <c r="K20" i="15"/>
  <c r="K29" i="15"/>
  <c r="K41" i="15"/>
  <c r="K52" i="15"/>
  <c r="K56" i="15"/>
  <c r="K60" i="15"/>
  <c r="K64" i="15"/>
  <c r="G104" i="17"/>
  <c r="G108" i="17" s="1"/>
  <c r="G29" i="17" s="1"/>
  <c r="G123" i="17"/>
  <c r="G127" i="17" s="1"/>
  <c r="G30" i="17" s="1"/>
  <c r="G70" i="17"/>
  <c r="G74" i="17" s="1"/>
  <c r="G28" i="17" s="1"/>
  <c r="E182" i="14"/>
  <c r="K12" i="14"/>
  <c r="K8" i="14" s="1"/>
  <c r="I12" i="14"/>
  <c r="I8" i="14" s="1"/>
  <c r="O12" i="14"/>
  <c r="O8" i="14" s="1"/>
  <c r="G12" i="14"/>
  <c r="V12" i="14"/>
  <c r="V8" i="14" s="1"/>
  <c r="F46" i="19"/>
  <c r="F66" i="19"/>
  <c r="F87" i="19"/>
  <c r="F104" i="19"/>
  <c r="K28" i="15"/>
  <c r="K45" i="15"/>
  <c r="K49" i="15"/>
  <c r="K150" i="15"/>
  <c r="K157" i="15"/>
  <c r="K164" i="15"/>
  <c r="K171" i="15"/>
  <c r="K14" i="15"/>
  <c r="K46" i="15"/>
  <c r="K126" i="15"/>
  <c r="K154" i="15"/>
  <c r="K172" i="15"/>
  <c r="K4" i="15"/>
  <c r="K15" i="15"/>
  <c r="K47" i="15"/>
  <c r="K113" i="15"/>
  <c r="K134" i="15"/>
  <c r="K162" i="15"/>
  <c r="K166" i="15"/>
  <c r="K169" i="15"/>
  <c r="K173" i="15"/>
  <c r="K138" i="15"/>
  <c r="K145" i="15"/>
  <c r="K149" i="15"/>
  <c r="K12" i="15"/>
  <c r="K163" i="15"/>
  <c r="G99" i="14"/>
  <c r="I62" i="1" s="1"/>
  <c r="Q102" i="14"/>
  <c r="O223" i="14"/>
  <c r="K185" i="14"/>
  <c r="G109" i="14"/>
  <c r="I64" i="1" s="1"/>
  <c r="G163" i="14"/>
  <c r="I68" i="1" s="1"/>
  <c r="I289" i="14"/>
  <c r="V185" i="14"/>
  <c r="I239" i="14"/>
  <c r="M289" i="14"/>
  <c r="Q8" i="14"/>
  <c r="V256" i="14"/>
  <c r="G223" i="14"/>
  <c r="I73" i="1" s="1"/>
  <c r="K193" i="14"/>
  <c r="Q185" i="14"/>
  <c r="O102" i="14"/>
  <c r="V278" i="14"/>
  <c r="I193" i="14"/>
  <c r="G87" i="14"/>
  <c r="I60" i="1" s="1"/>
  <c r="O22" i="14"/>
  <c r="I163" i="14"/>
  <c r="Q278" i="14"/>
  <c r="K151" i="14"/>
  <c r="O115" i="14"/>
  <c r="G67" i="14"/>
  <c r="I59" i="1" s="1"/>
  <c r="K102" i="14"/>
  <c r="I102" i="14"/>
  <c r="K90" i="14"/>
  <c r="F40" i="1"/>
  <c r="G193" i="14"/>
  <c r="I71" i="1" s="1"/>
  <c r="O185" i="14"/>
  <c r="V151" i="14"/>
  <c r="I115" i="14"/>
  <c r="V90" i="14"/>
  <c r="V67" i="14"/>
  <c r="O67" i="14"/>
  <c r="G39" i="14"/>
  <c r="I58" i="1" s="1"/>
  <c r="G205" i="14"/>
  <c r="I72" i="1" s="1"/>
  <c r="V289" i="14"/>
  <c r="K278" i="14"/>
  <c r="I256" i="14"/>
  <c r="K223" i="14"/>
  <c r="I223" i="14"/>
  <c r="G151" i="14"/>
  <c r="I67" i="1" s="1"/>
  <c r="Q151" i="14"/>
  <c r="K115" i="14"/>
  <c r="K67" i="14"/>
  <c r="V39" i="14"/>
  <c r="K22" i="14"/>
  <c r="I22" i="14"/>
  <c r="Q256" i="14"/>
  <c r="Q39" i="14"/>
  <c r="Q205" i="14"/>
  <c r="K256" i="14"/>
  <c r="G289" i="14"/>
  <c r="I77" i="1" s="1"/>
  <c r="I278" i="14"/>
  <c r="V239" i="14"/>
  <c r="V205" i="14"/>
  <c r="I185" i="14"/>
  <c r="Q163" i="14"/>
  <c r="O90" i="14"/>
  <c r="I67" i="14"/>
  <c r="I39" i="14"/>
  <c r="G239" i="14"/>
  <c r="I74" i="1" s="1"/>
  <c r="I205" i="14"/>
  <c r="Q289" i="14"/>
  <c r="O289" i="14"/>
  <c r="G185" i="14"/>
  <c r="I70" i="1" s="1"/>
  <c r="V163" i="14"/>
  <c r="O163" i="14"/>
  <c r="O151" i="14"/>
  <c r="V115" i="14"/>
  <c r="O39" i="14"/>
  <c r="V22" i="14"/>
  <c r="O256" i="14"/>
  <c r="G256" i="14"/>
  <c r="I75" i="1" s="1"/>
  <c r="O239" i="14"/>
  <c r="O205" i="14"/>
  <c r="V193" i="14"/>
  <c r="Q193" i="14"/>
  <c r="K163" i="14"/>
  <c r="G115" i="14"/>
  <c r="I66" i="1" s="1"/>
  <c r="Q115" i="14"/>
  <c r="G90" i="14"/>
  <c r="I61" i="1" s="1"/>
  <c r="Q90" i="14"/>
  <c r="M72" i="14"/>
  <c r="M67" i="14" s="1"/>
  <c r="F39" i="1"/>
  <c r="K39" i="14"/>
  <c r="Q67" i="14"/>
  <c r="V223" i="14"/>
  <c r="K289" i="14"/>
  <c r="O278" i="14"/>
  <c r="G278" i="14"/>
  <c r="I76" i="1" s="1"/>
  <c r="Q239" i="14"/>
  <c r="K239" i="14"/>
  <c r="Q223" i="14"/>
  <c r="K205" i="14"/>
  <c r="O193" i="14"/>
  <c r="I151" i="14"/>
  <c r="V102" i="14"/>
  <c r="G102" i="14"/>
  <c r="I63" i="1" s="1"/>
  <c r="I90" i="14"/>
  <c r="Q22" i="14"/>
  <c r="M22" i="14"/>
  <c r="M223" i="14"/>
  <c r="M102" i="14"/>
  <c r="M240" i="14"/>
  <c r="M239" i="14" s="1"/>
  <c r="M186" i="14"/>
  <c r="M185" i="14" s="1"/>
  <c r="M156" i="14"/>
  <c r="M151" i="14" s="1"/>
  <c r="M120" i="14"/>
  <c r="M115" i="14" s="1"/>
  <c r="M96" i="14"/>
  <c r="M90" i="14" s="1"/>
  <c r="M281" i="14"/>
  <c r="M278" i="14" s="1"/>
  <c r="M261" i="14"/>
  <c r="M256" i="14" s="1"/>
  <c r="M206" i="14"/>
  <c r="M205" i="14" s="1"/>
  <c r="G22" i="14"/>
  <c r="I57" i="1" s="1"/>
  <c r="M194" i="14"/>
  <c r="M193" i="14" s="1"/>
  <c r="M180" i="14"/>
  <c r="M164" i="14"/>
  <c r="M163" i="14" s="1"/>
  <c r="M42" i="14"/>
  <c r="M39" i="14" s="1"/>
  <c r="M9" i="14"/>
  <c r="AF49" i="13"/>
  <c r="G42" i="1" s="1"/>
  <c r="H42" i="1" s="1"/>
  <c r="I42" i="1" s="1"/>
  <c r="M19" i="13"/>
  <c r="M8" i="13" s="1"/>
  <c r="K5" i="16" l="1"/>
  <c r="H4" i="19"/>
  <c r="F4" i="19"/>
  <c r="I78" i="1"/>
  <c r="K111" i="15"/>
  <c r="K66" i="15"/>
  <c r="K3" i="15"/>
  <c r="K39" i="15"/>
  <c r="K27" i="15"/>
  <c r="G31" i="17"/>
  <c r="F11" i="12" s="1"/>
  <c r="G11" i="12" s="1"/>
  <c r="M11" i="12" s="1"/>
  <c r="K182" i="14"/>
  <c r="K179" i="14" s="1"/>
  <c r="G182" i="14"/>
  <c r="I182" i="14"/>
  <c r="I179" i="14" s="1"/>
  <c r="O182" i="14"/>
  <c r="O179" i="14" s="1"/>
  <c r="V182" i="14"/>
  <c r="V179" i="14" s="1"/>
  <c r="Q182" i="14"/>
  <c r="Q179" i="14" s="1"/>
  <c r="E114" i="14"/>
  <c r="E113" i="14" s="1"/>
  <c r="K113" i="14" s="1"/>
  <c r="K112" i="14" s="1"/>
  <c r="G8" i="14"/>
  <c r="M12" i="14"/>
  <c r="M8" i="14" s="1"/>
  <c r="F44" i="1"/>
  <c r="F10" i="12" l="1"/>
  <c r="G10" i="12" s="1"/>
  <c r="M10" i="12" s="1"/>
  <c r="F12" i="12"/>
  <c r="G12" i="12" s="1"/>
  <c r="M12" i="12" s="1"/>
  <c r="K179" i="15"/>
  <c r="F9" i="12" s="1"/>
  <c r="G9" i="12" s="1"/>
  <c r="M9" i="12" s="1"/>
  <c r="I113" i="14"/>
  <c r="I112" i="14" s="1"/>
  <c r="O113" i="14"/>
  <c r="O112" i="14" s="1"/>
  <c r="G113" i="14"/>
  <c r="AF293" i="14" s="1"/>
  <c r="M182" i="14"/>
  <c r="M179" i="14" s="1"/>
  <c r="G179" i="14"/>
  <c r="I69" i="1" s="1"/>
  <c r="V113" i="14"/>
  <c r="V112" i="14" s="1"/>
  <c r="Q113" i="14"/>
  <c r="Q112" i="14" s="1"/>
  <c r="I56" i="1"/>
  <c r="G23" i="1"/>
  <c r="A23" i="1" s="1"/>
  <c r="G24" i="1" s="1"/>
  <c r="M8" i="12" l="1"/>
  <c r="AF14" i="12"/>
  <c r="G41" i="1" s="1"/>
  <c r="H41" i="1" s="1"/>
  <c r="G8" i="12"/>
  <c r="G14" i="12" s="1"/>
  <c r="G112" i="14"/>
  <c r="I65" i="1" s="1"/>
  <c r="M113" i="14"/>
  <c r="M112" i="14" s="1"/>
  <c r="A24" i="1"/>
  <c r="G39" i="1" l="1"/>
  <c r="H39" i="1" s="1"/>
  <c r="I79" i="1"/>
  <c r="I17" i="1" s="1"/>
  <c r="I41" i="1"/>
  <c r="I16" i="1"/>
  <c r="G293" i="14"/>
  <c r="I21" i="1" l="1"/>
  <c r="I80" i="1"/>
  <c r="J67" i="1" s="1"/>
  <c r="G43" i="1"/>
  <c r="G40" i="1"/>
  <c r="H40" i="1" s="1"/>
  <c r="I40" i="1" s="1"/>
  <c r="I39" i="1"/>
  <c r="J59" i="1" l="1"/>
  <c r="J66" i="1"/>
  <c r="J56" i="1"/>
  <c r="J74" i="1"/>
  <c r="J68" i="1"/>
  <c r="J61" i="1"/>
  <c r="J71" i="1"/>
  <c r="J64" i="1"/>
  <c r="J63" i="1"/>
  <c r="J79" i="1"/>
  <c r="J75" i="1"/>
  <c r="J76" i="1"/>
  <c r="J69" i="1"/>
  <c r="J62" i="1"/>
  <c r="J72" i="1"/>
  <c r="J70" i="1"/>
  <c r="J57" i="1"/>
  <c r="J60" i="1"/>
  <c r="J58" i="1"/>
  <c r="J77" i="1"/>
  <c r="J78" i="1"/>
  <c r="J65" i="1"/>
  <c r="J73" i="1"/>
  <c r="H43" i="1"/>
  <c r="G44" i="1"/>
  <c r="J80" i="1" l="1"/>
  <c r="G28" i="1"/>
  <c r="G25" i="1"/>
  <c r="A25" i="1" s="1"/>
  <c r="I43" i="1"/>
  <c r="I44" i="1" s="1"/>
  <c r="H44" i="1"/>
  <c r="A26" i="1" l="1"/>
  <c r="G26" i="1"/>
  <c r="A27" i="1" s="1"/>
  <c r="J39" i="1"/>
  <c r="J40" i="1"/>
  <c r="J43" i="1"/>
  <c r="J41" i="1"/>
  <c r="J42" i="1"/>
  <c r="J44" i="1" l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8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8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<sst xmlns="http://schemas.openxmlformats.org/spreadsheetml/2006/main" count="3389" uniqueCount="1260">
  <si>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</si>
  <si>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</si>
  <si>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</si>
  <si>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</si>
  <si>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</si>
  <si>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</si>
  <si>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</si>
  <si>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</si>
  <si>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</si>
  <si>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</si>
  <si>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</si>
  <si>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</si>
  <si>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</si>
  <si>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</si>
  <si>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</si>
  <si>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</si>
  <si>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</si>
  <si>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</si>
  <si>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</si>
  <si>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</si>
  <si>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</si>
  <si>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</si>
  <si>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</si>
  <si>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</si>
  <si>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</si>
  <si>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</si>
  <si>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</si>
  <si>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</si>
  <si>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</si>
  <si>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</si>
  <si>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</si>
  <si>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</si>
  <si>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</si>
  <si>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</si>
  <si>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</si>
  <si>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</si>
  <si>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</si>
  <si>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</si>
  <si>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</si>
  <si>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</si>
  <si>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</si>
  <si>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12</t>
  </si>
  <si>
    <t>Rekonstrukce a rozvoj koupaliště Polanka</t>
  </si>
  <si>
    <t>Stavba</t>
  </si>
  <si>
    <t>OBČERSTVENÍ - POOL BAR</t>
  </si>
  <si>
    <t>D 1.4</t>
  </si>
  <si>
    <t>Technika prostředí staveb</t>
  </si>
  <si>
    <t>D 1.5</t>
  </si>
  <si>
    <t>Interiér</t>
  </si>
  <si>
    <t>D1.1 + D1.2</t>
  </si>
  <si>
    <t>Architektonicko - stavební a  stavebně konstrukční řešení</t>
  </si>
  <si>
    <t>Celkem za stavbu</t>
  </si>
  <si>
    <t>CZK</t>
  </si>
  <si>
    <t>#POPS</t>
  </si>
  <si>
    <t>Popis stavby: SO 12 - Rekonstrukce a rozvoj koupaliště Polanka</t>
  </si>
  <si>
    <t>#POPO</t>
  </si>
  <si>
    <t>Popis objektu: SO 12 - OBČERSTVENÍ - POOL BAR</t>
  </si>
  <si>
    <t>#POPR</t>
  </si>
  <si>
    <t>Popis rozpočtu: D 1.4 - Technika prostředí staveb</t>
  </si>
  <si>
    <t>Popis rozpočtu: D 1.5 - Interiér</t>
  </si>
  <si>
    <t>Popis rozpočtu: D1.1 + D1.2 - Architektonicko - stavební a  stavebně konstrukční řešení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</si>
  <si>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</si>
  <si>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</si>
  <si>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</si>
  <si>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</si>
  <si>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</si>
  <si>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</si>
  <si>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</si>
  <si>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</si>
  <si>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</si>
  <si>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</si>
  <si>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</si>
  <si>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</si>
  <si>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</si>
  <si>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</si>
  <si>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</si>
  <si>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</si>
  <si>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</si>
  <si>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</si>
  <si>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</si>
  <si>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</si>
  <si>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</si>
  <si>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</si>
  <si>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</si>
  <si>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</si>
  <si>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</si>
  <si>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</si>
  <si>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</si>
  <si>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</si>
  <si>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</si>
  <si>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Dřevostavby</t>
  </si>
  <si>
    <t>763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</si>
  <si>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</si>
  <si>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</si>
  <si>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</si>
  <si>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</si>
  <si>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</si>
  <si>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</si>
  <si>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</si>
  <si>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</si>
  <si>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</si>
  <si>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</si>
  <si>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</si>
  <si>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</si>
  <si>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</si>
  <si>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</si>
  <si>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</si>
  <si>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</si>
  <si>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</si>
  <si>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</si>
  <si>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</si>
  <si>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</si>
  <si>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</si>
  <si>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</si>
  <si>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</si>
  <si>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</si>
  <si>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</si>
  <si>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</si>
  <si>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</si>
  <si>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</si>
  <si>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</si>
  <si>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</si>
  <si>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</si>
  <si>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</si>
  <si>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</si>
  <si>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</si>
  <si>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</si>
  <si>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</si>
  <si>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</si>
  <si>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</si>
  <si>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</si>
  <si>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</si>
  <si>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</si>
  <si>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</si>
  <si>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</si>
  <si>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</si>
  <si>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</si>
  <si>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</si>
  <si>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D 1.4.1</t>
  </si>
  <si>
    <t>Zdravotní instalace</t>
  </si>
  <si>
    <t>celkem</t>
  </si>
  <si>
    <t>Vlastní</t>
  </si>
  <si>
    <t>Indiv</t>
  </si>
  <si>
    <t>Práce</t>
  </si>
  <si>
    <t>Běžná</t>
  </si>
  <si>
    <t>POL1_</t>
  </si>
  <si>
    <t>D 1.4.2</t>
  </si>
  <si>
    <t>Elektroinstalace</t>
  </si>
  <si>
    <t>D 1.4.4</t>
  </si>
  <si>
    <t>Vzduchotechnika</t>
  </si>
  <si>
    <t>D 1.4.5</t>
  </si>
  <si>
    <t>Slaboproudá instalace</t>
  </si>
  <si>
    <t>SUM</t>
  </si>
  <si>
    <t>Poznámky uchazeče k zadání</t>
  </si>
  <si>
    <t>POPUZIV</t>
  </si>
  <si>
    <t>END</t>
  </si>
  <si>
    <t>799000001R00</t>
  </si>
  <si>
    <t>Montovaná WC kabina z vysokotlakého laminátu HPL tl.12mm (rozměr dle půdorysu, výška 2030mm) OST/01 (dodávka a montáž)</t>
  </si>
  <si>
    <t>kus</t>
  </si>
  <si>
    <t>799000002R00</t>
  </si>
  <si>
    <t>Montovaná zástěna - lehká dělící příčka z vysokotlakého laminátu HPL tl. 12mm OST/02 (dodávka a montáž)</t>
  </si>
  <si>
    <t>799000003R00</t>
  </si>
  <si>
    <t>Montovaná WC kabina z vysokotlakého laminátu HPL tl.12mm (rozměr dle půdorysu, výška 2030mm) OST/03 (dodávka a montáž)</t>
  </si>
  <si>
    <t>787911111R00</t>
  </si>
  <si>
    <t>Montáž zrcadla na stěnu, na lepidlo, pl. do 2 m2 (zapuštěné do obkladu) OST/04</t>
  </si>
  <si>
    <t>m2</t>
  </si>
  <si>
    <t>RTS 23/ I</t>
  </si>
  <si>
    <t>včetně dodávky lepidla.</t>
  </si>
  <si>
    <t>POP</t>
  </si>
  <si>
    <t>0,45*0,8*2</t>
  </si>
  <si>
    <t>VV</t>
  </si>
  <si>
    <t>63465127R</t>
  </si>
  <si>
    <t>Zrcadlo nemontované čiré OST/04</t>
  </si>
  <si>
    <t>SPCM</t>
  </si>
  <si>
    <t>Specifikace</t>
  </si>
  <si>
    <t>POL3_</t>
  </si>
  <si>
    <t>781497132RS4</t>
  </si>
  <si>
    <t>Lišta nerezová - ukončovací profil tvaru L, výška hrany 10mm OST/05 (dodávka a montáž)</t>
  </si>
  <si>
    <t>m</t>
  </si>
  <si>
    <t>781497111R01</t>
  </si>
  <si>
    <t>Lišta PVC ukončovací oblý profil 6mm OST/06 (dodávka a montáž)</t>
  </si>
  <si>
    <t>799000004R00</t>
  </si>
  <si>
    <t>Dávkovač mýdla nástěnný nerez V/01 (dodávka a montáž)</t>
  </si>
  <si>
    <t>799000005R00</t>
  </si>
  <si>
    <t>Zásobník toaletního papíru nerez V/02 (dodávka a montáž)</t>
  </si>
  <si>
    <t>799000006R00</t>
  </si>
  <si>
    <t>WC štětka volně stojící plastová V/03</t>
  </si>
  <si>
    <t>799000007R00</t>
  </si>
  <si>
    <t>Zásobník na hygienické sáčky nerez V/04 (dodávka a montáž)</t>
  </si>
  <si>
    <t>799000008R00</t>
  </si>
  <si>
    <t>Zásobník papírových ručníků (na 600ks) nerez V/05 (dodávka a montáž)</t>
  </si>
  <si>
    <t>799000009R00</t>
  </si>
  <si>
    <t>Odpadkový koš nerez 25l V/06</t>
  </si>
  <si>
    <t>799000010R00</t>
  </si>
  <si>
    <t>Odpadkový koš mat chrom 3l V/07</t>
  </si>
  <si>
    <t>799000011R00</t>
  </si>
  <si>
    <t>Dveřní nástěnná zarážka nerez V/08 (dodávka a montáž)</t>
  </si>
  <si>
    <t>799000012R00</t>
  </si>
  <si>
    <t>Mýdlenka drátěná chrom V/09 (dodávka a montáž)</t>
  </si>
  <si>
    <t>799000013R00</t>
  </si>
  <si>
    <t>Pevné nástěnné madlo k WC nerez V/10 (dodávka a montáž)</t>
  </si>
  <si>
    <t>799000014R00</t>
  </si>
  <si>
    <t>MAdlo jednoduché hladké nerez V/11 (dodávka a montáž)</t>
  </si>
  <si>
    <t>799000015R00</t>
  </si>
  <si>
    <t>Sklopné sedátko z PVC modulů V/12 (dodávka a montáž)</t>
  </si>
  <si>
    <t>799000016R00</t>
  </si>
  <si>
    <t>Sklopné madlo k WC nerez V/13 (dodávka a montáž)</t>
  </si>
  <si>
    <t>799000017R00</t>
  </si>
  <si>
    <t>Madlo do sprchy nerez V/14 (dodávka a montáž)</t>
  </si>
  <si>
    <t>799000018R00</t>
  </si>
  <si>
    <t>Věšák sprchového závěsu V/15 (dodávka a montáž)</t>
  </si>
  <si>
    <t>79900019R00</t>
  </si>
  <si>
    <t>Sprchový závěs polyester V/16 (dodávka a montáž)</t>
  </si>
  <si>
    <t>799000020R00</t>
  </si>
  <si>
    <t>Zrcadlo výklopné 40x60cm V/17 (dodávka a montáž)</t>
  </si>
  <si>
    <t>799000021R00</t>
  </si>
  <si>
    <t>Odpadkový koš zavěšený bez víka V/18 (dodávka a montáž)</t>
  </si>
  <si>
    <t>799000022R00</t>
  </si>
  <si>
    <t>Hodiny nástěnné kov V/19 (dodávka a montáž)</t>
  </si>
  <si>
    <t>799000023R00</t>
  </si>
  <si>
    <t>Nápis na fasádu POOL BAR - folie výška písma 250mm V/20 (dodávka a montáž)</t>
  </si>
  <si>
    <t>799000024R00</t>
  </si>
  <si>
    <t>Nápis na fasádu POOL BAR - folie výška písma 300mm V/21 (dodávka a montáž)</t>
  </si>
  <si>
    <t>799000025R00</t>
  </si>
  <si>
    <t>Orientační systém - piktogramy - folie V/22 (dodávka a montáž)</t>
  </si>
  <si>
    <t>799000026R00</t>
  </si>
  <si>
    <t>Orientační systém - piktogramy V/23 (dodávka a montáž)</t>
  </si>
  <si>
    <t>799000027R00</t>
  </si>
  <si>
    <t>Kovové háčky - jednoháček chrom V/24</t>
  </si>
  <si>
    <t>799000028R00</t>
  </si>
  <si>
    <t>Regál kovový - plechové police v.2000mm š.800mm hl.400mm V/25 (dodávka a montáž)</t>
  </si>
  <si>
    <t>799000029R00</t>
  </si>
  <si>
    <t>Přebalovací pult tvrzený plast V/26 (dodávka a montáž)</t>
  </si>
  <si>
    <t>799000030R00</t>
  </si>
  <si>
    <t>Orientační systém - piktogramy, folie V/27 (dodávka a montáž)</t>
  </si>
  <si>
    <t>799000031R00</t>
  </si>
  <si>
    <t>Cedule na reklamní informace V/28 (dodávka a montáž)</t>
  </si>
  <si>
    <t>799000032R00</t>
  </si>
  <si>
    <t>Orientační systém - popisy dveří - samolepící folie V/29 (dodávka a montáž)</t>
  </si>
  <si>
    <t>215901101RT5</t>
  </si>
  <si>
    <t>Zhutnění podloží z hornin nesoudržných do 92% PS vibrační deskou</t>
  </si>
  <si>
    <t>m3</t>
  </si>
  <si>
    <t>131201119R00</t>
  </si>
  <si>
    <t>Příplatek za lepivost - hloubení nezap.jam v hor.3</t>
  </si>
  <si>
    <t>161101101R00</t>
  </si>
  <si>
    <t>Svislé přemístění výkopku z hor.1-4 do 2,5 m</t>
  </si>
  <si>
    <t>162201101R00</t>
  </si>
  <si>
    <t>Vodorovné přemístění výkopku z hor.1-4 do 20 m</t>
  </si>
  <si>
    <t>167101101R00</t>
  </si>
  <si>
    <t>Nakládání výkopku z hor.1-4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</si>
  <si>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</si>
  <si>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</si>
  <si>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</si>
  <si>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</si>
  <si>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</si>
  <si>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</si>
  <si>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</si>
  <si>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</si>
  <si>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273321411R00</t>
  </si>
  <si>
    <t>Železobeton základových desek C 25/30 XC2, XF1, XA1</t>
  </si>
  <si>
    <t>273351215R00</t>
  </si>
  <si>
    <t>Bednění stěn základových desek - zřízení</t>
  </si>
  <si>
    <t>273351216R00</t>
  </si>
  <si>
    <t>Bednění stěn základových desek - odstranění</t>
  </si>
  <si>
    <t>Včetně očištění, vytřídění a uložení bednicího materiálu.</t>
  </si>
  <si>
    <t>273361821R00</t>
  </si>
  <si>
    <t>Výztuž základových desek z betonářské oceli B500B (10 505)</t>
  </si>
  <si>
    <t>t</t>
  </si>
  <si>
    <t>274313611R00</t>
  </si>
  <si>
    <t>Beton základových pasů prostý C 16/20 X0</t>
  </si>
  <si>
    <t>(8,5+14,35)*2*0,78*0,5</t>
  </si>
  <si>
    <t>271313511R00</t>
  </si>
  <si>
    <t>0,1*7,5*14,35</t>
  </si>
  <si>
    <t>273361921RT5</t>
  </si>
  <si>
    <t>Výztuž základových desek ze svařovaných sítí KH 20, drát d 6,0 mm, oko 150 x 150 mm</t>
  </si>
  <si>
    <t>7,5*14,35*18,2/6/1000*1,1</t>
  </si>
  <si>
    <t>330321311R00</t>
  </si>
  <si>
    <t>Beton sloupů a pilířů železový C 20/25</t>
  </si>
  <si>
    <t>0,2*0,2*3,48</t>
  </si>
  <si>
    <t>331351101R00</t>
  </si>
  <si>
    <t>Bednění sloupů čtyřúhelníkového průřezu - zřízení</t>
  </si>
  <si>
    <t>(0,2+0,2)*2*3,48</t>
  </si>
  <si>
    <t>331351102R00</t>
  </si>
  <si>
    <t>Bednění sloupů čtyřúhelníkového průřezu - odstranění</t>
  </si>
  <si>
    <t>Odkaz na mn. položky pořadí 22 : 2,78400</t>
  </si>
  <si>
    <t>331361721R00</t>
  </si>
  <si>
    <t>Výztuž sloupů hranatých z oceli BSt 500 S</t>
  </si>
  <si>
    <t>0,1392*200/1000</t>
  </si>
  <si>
    <t>311271176RT6</t>
  </si>
  <si>
    <t>Zdivo z tvárnic autoklávového porobetonu kategorie I tl. 250 mm 499 x 249 x 250 mm</t>
  </si>
  <si>
    <t>S01 : (1,24+0,85+0,9+0,5+4,94+2,3+5,61+0,4+1,55+0,4+5,46+1,95+0,25*2+1,85)*2,6</t>
  </si>
  <si>
    <t>342255028R00</t>
  </si>
  <si>
    <t>Příčky z desek z autoklávového porobetonu kategorie I tl. 150 mm 150x249x599mm</t>
  </si>
  <si>
    <t>(1,8+2,45+0,15+1,45+2,55+0,15+2,71+0,45+1,05)*3,26</t>
  </si>
  <si>
    <t>1,355*(4+3,505)</t>
  </si>
  <si>
    <t>346244315R00</t>
  </si>
  <si>
    <t>Obezdívky van a WC nádržek z desek autoklávového porobetonu tl. 150 mm</t>
  </si>
  <si>
    <t>(0,97+1,95+2,05)*1,1</t>
  </si>
  <si>
    <t>317941121R00</t>
  </si>
  <si>
    <t>Osazení ocelových válcovaných nosníků do č. 12</t>
  </si>
  <si>
    <t>TK 114x6,3 + P8 : 218,4/1000+15,7/1000</t>
  </si>
  <si>
    <t>14105075R1</t>
  </si>
  <si>
    <t>Trubka bezešvá konstrukční S355J2H, rozměr 114,3 x 6,3 mm</t>
  </si>
  <si>
    <t>13*1,15</t>
  </si>
  <si>
    <t>13611228R</t>
  </si>
  <si>
    <t>Plech hladký S235JR 10,00 x 1000 x 2000 mm</t>
  </si>
  <si>
    <t>15,7*1,15/1000</t>
  </si>
  <si>
    <t>317998111R00</t>
  </si>
  <si>
    <t>Izolace mezi překlady z polystyrenu tl. 50 mm</t>
  </si>
  <si>
    <t>Izolce věnce : 15,45*2+4,1*2</t>
  </si>
  <si>
    <t>413941123R00</t>
  </si>
  <si>
    <t>Osazení válcovaných nosníků ve stropech č. 14 - 22</t>
  </si>
  <si>
    <t>HEA 160 : 1064/1000+5,4/1000</t>
  </si>
  <si>
    <t>13388140R</t>
  </si>
  <si>
    <t>Tyč ocelová HEA 160, S235JR</t>
  </si>
  <si>
    <t>1064*1,15/1000</t>
  </si>
  <si>
    <t>13611224R</t>
  </si>
  <si>
    <t>Plech hladký S235JR 8,00 x 1000 x 2000 mm</t>
  </si>
  <si>
    <t>5,4*1,15/1000</t>
  </si>
  <si>
    <t>417321315R00</t>
  </si>
  <si>
    <t>Ztužující pásy a věnce z betonu železového C 20/25</t>
  </si>
  <si>
    <t>V1.1 : (0,2+0,325)*4,1/2*0,2</t>
  </si>
  <si>
    <t>V1.2 : (0,2+0,325)*4,1/2*0,25</t>
  </si>
  <si>
    <t>V1.3 : (0,2+0,325)*(4,1+0,25)/2*0,25</t>
  </si>
  <si>
    <t>V1.4 : (0,2+0,325)*4,1/2*0,25</t>
  </si>
  <si>
    <t>V1.5 : 0,325*0,25*15,45</t>
  </si>
  <si>
    <t>V1.6 : 0,2*0,25*15,45</t>
  </si>
  <si>
    <t>417361721R00</t>
  </si>
  <si>
    <t>Výztuž ztuž. pásů a věnců, ocel BSt 500 S</t>
  </si>
  <si>
    <t>3,06666*140/1000</t>
  </si>
  <si>
    <t>417351111R00</t>
  </si>
  <si>
    <t>Bednění ztužujících věnců, obě strany - zřízení</t>
  </si>
  <si>
    <t>15,45*2*2+4,1*4*2+0,15*2</t>
  </si>
  <si>
    <t>417351113R00</t>
  </si>
  <si>
    <t>Bednění ztužujících věnců, obě strany - odstranění</t>
  </si>
  <si>
    <t>Odkaz na mn. položky pořadí 39 : 94,90000</t>
  </si>
  <si>
    <t>564831111RT4</t>
  </si>
  <si>
    <t>Podklad ze štěrkový po zhutnění tloušťky 10 cm frakce 32-63 mm</t>
  </si>
  <si>
    <t>602011193R00</t>
  </si>
  <si>
    <t xml:space="preserve">Kontaktní nátěr pod omítky </t>
  </si>
  <si>
    <t>602011102R00</t>
  </si>
  <si>
    <t>Postřik cementový, ručně tl.2mm</t>
  </si>
  <si>
    <t>602011112RT1</t>
  </si>
  <si>
    <t>Omítka jádrová, ručně, vápenocementová tloušťka vrstvy 10 mm</t>
  </si>
  <si>
    <t>612481211RT8</t>
  </si>
  <si>
    <t>Montáž výztužné sítě(perlinky)do stěrky-vnit.stěny včetně výztužné sítě a stěrkového tmelu</t>
  </si>
  <si>
    <t>602011141RT1</t>
  </si>
  <si>
    <t>Štuk na stěnách vnitřní, ručně tloušťka vrstvy 2 mm</t>
  </si>
  <si>
    <t>612473186R00</t>
  </si>
  <si>
    <t>Příplatek za zabudované rohovníky, stěny</t>
  </si>
  <si>
    <t>10*3</t>
  </si>
  <si>
    <t>612473185R00</t>
  </si>
  <si>
    <t>Příplatek za zabudované omítníky v ploše stěn</t>
  </si>
  <si>
    <t>622221114R07</t>
  </si>
  <si>
    <t>Obklad stěny vláknocementové fasádní desky, na Al vymez. lišty kód spec.stand.301</t>
  </si>
  <si>
    <t>Kalkul</t>
  </si>
  <si>
    <t>107,69</t>
  </si>
  <si>
    <t>631312621R00</t>
  </si>
  <si>
    <t>Mazanina betonová tl. 5 - 8 cm C 20/25 XC1</t>
  </si>
  <si>
    <t>Včetně vytvoření dilatačních spár, bez zaplnění.</t>
  </si>
  <si>
    <t>55,31*0,06</t>
  </si>
  <si>
    <t>631319171R00</t>
  </si>
  <si>
    <t>Příplatek za stržení povrchu mazaniny tl. 8 cm</t>
  </si>
  <si>
    <t>631361921RT8</t>
  </si>
  <si>
    <t>Výztuž mazanin svařovanou sítí KY 81, drát d 8,0 mm, oko 100 x 100 mm</t>
  </si>
  <si>
    <t>55,31*47,4/6/1000*1,1</t>
  </si>
  <si>
    <t>941955002R00</t>
  </si>
  <si>
    <t>Lešení lehké pomocné, výška podlahy do 1,9 m</t>
  </si>
  <si>
    <t>(4,5+15,5)*2*1,2</t>
  </si>
  <si>
    <t>998011001R00</t>
  </si>
  <si>
    <t>Přesun hmot pro budovy do výšky do 6 m</t>
  </si>
  <si>
    <t>711212002RT3</t>
  </si>
  <si>
    <t>Izolace proti vodě a vlhkosti, hydroizolační povlak - nátěr nebo stěrka kód spec.stand.501</t>
  </si>
  <si>
    <t>jednovrstvá</t>
  </si>
  <si>
    <t>711212000RU1</t>
  </si>
  <si>
    <t>Izolace proti vodě a vlhkosti, penetrace podkladu pod hydroizolační nátěr, včetně dodávky</t>
  </si>
  <si>
    <t>711151111R00</t>
  </si>
  <si>
    <t>Provedení izolace proti vlhkosti na ploše vodorovné, samolepicími asfaltovými pásy</t>
  </si>
  <si>
    <t>62852269R</t>
  </si>
  <si>
    <t>R-položka</t>
  </si>
  <si>
    <t>POL12_0</t>
  </si>
  <si>
    <t>711171559RT1</t>
  </si>
  <si>
    <t>Provedení izolace proti vlhkosti na ploše vodorovné, fólií, volně fólie ve specifikaci</t>
  </si>
  <si>
    <t>711191172R00</t>
  </si>
  <si>
    <t>Provedení izolace proti vlhkosti na ploše vodorovné, ochrannou textilií</t>
  </si>
  <si>
    <t>69366198R</t>
  </si>
  <si>
    <t>Geotextilie 300 g/m2 ze 100% PP</t>
  </si>
  <si>
    <t>711714110R00</t>
  </si>
  <si>
    <t>Provedení nátěru adhezní hmotou včetně dodávky adhezní hmoty</t>
  </si>
  <si>
    <t>711141559R00</t>
  </si>
  <si>
    <t>Provedení izolace proti vlhkosti na ploše vodorovné, asfaltovými pásy přitavením</t>
  </si>
  <si>
    <t>55,31*2</t>
  </si>
  <si>
    <t>62852251R</t>
  </si>
  <si>
    <t>Pás modifikovaný asfalt  kód spec.stand. 503</t>
  </si>
  <si>
    <t>55,31*1,1</t>
  </si>
  <si>
    <t>62852265R</t>
  </si>
  <si>
    <t>Pás modifikovaný asfalstový kód spec. stand.502</t>
  </si>
  <si>
    <t>67352316.AR</t>
  </si>
  <si>
    <t>Fólie  speciál podstřešní difúzní</t>
  </si>
  <si>
    <t>141,71*1,1</t>
  </si>
  <si>
    <t>711412001R00</t>
  </si>
  <si>
    <t>Provedení izolace proti tlakové vodě, na ploše svislé, penetračním nátěrem</t>
  </si>
  <si>
    <t>141,71</t>
  </si>
  <si>
    <t>55,31</t>
  </si>
  <si>
    <t>11163230R</t>
  </si>
  <si>
    <t xml:space="preserve">Emulze asfaltová penetrační </t>
  </si>
  <si>
    <t>kg</t>
  </si>
  <si>
    <t>141,71*0,04*1,1</t>
  </si>
  <si>
    <t>55,31*0,04*1,1</t>
  </si>
  <si>
    <t>998711101R00</t>
  </si>
  <si>
    <t>Přesun hmot pro izolace proti vodě, výšky do 6 m</t>
  </si>
  <si>
    <t>Odkaz na hmot. položky pořadí 66 : 0,01715</t>
  </si>
  <si>
    <t>Odkaz na hmot. položky pořadí 55 : 0,06899</t>
  </si>
  <si>
    <t>Odkaz na hmot. položky pořadí 56 : 0,00426</t>
  </si>
  <si>
    <t>Odkaz na hmot. položky pořadí 58 : 0,54558</t>
  </si>
  <si>
    <t>Odkaz na hmot. položky pořadí 61 : 0,01825</t>
  </si>
  <si>
    <t>Odkaz na hmot. položky pořadí 64 : 0,27987</t>
  </si>
  <si>
    <t>Odkaz na hmot. položky pořadí 65 : 0,27378</t>
  </si>
  <si>
    <t>Odkaz na hmot. položky pořadí 67 : 0,03349</t>
  </si>
  <si>
    <t>Odkaz na hmot. položky pořadí 68 : 0,00867</t>
  </si>
  <si>
    <t>712391171R00</t>
  </si>
  <si>
    <t>Povlaková krytina střech do 10°, podklad. textilie</t>
  </si>
  <si>
    <t>712372111R00</t>
  </si>
  <si>
    <t>Provedení povlakové krytiny střech do 10°, fólií kotvenou do podkladu</t>
  </si>
  <si>
    <t>včetně ukotvení k podkladu hmoždinkami, svaření všech spojů a překrytí kotev fólií.</t>
  </si>
  <si>
    <t>283220013R</t>
  </si>
  <si>
    <t>Fólie izolační z PVC-P, tl. 2,0 mm kód spec.stand.504</t>
  </si>
  <si>
    <t>712000120R00</t>
  </si>
  <si>
    <t>Pojistná zálivka</t>
  </si>
  <si>
    <t>15,65*2+8,95*2</t>
  </si>
  <si>
    <t>998712101R00</t>
  </si>
  <si>
    <t>Přesun hmot pro povlakové krytiny, výšky do 6 m</t>
  </si>
  <si>
    <t>Odkaz na hmot. položky pořadí 71 : 0,04676</t>
  </si>
  <si>
    <t>Odkaz na hmot. položky pořadí 73 : 0,34294</t>
  </si>
  <si>
    <t>Odkaz na hmot. položky pořadí 74 : 0,02460</t>
  </si>
  <si>
    <t>713121111R00</t>
  </si>
  <si>
    <t>Montáž tepelné izolace podlah na sucho, jednovrstvá</t>
  </si>
  <si>
    <t>713141312R00</t>
  </si>
  <si>
    <t>Montáž tepelné izolace střech do tl. 160 mm, 1 vrstva, na kotvy</t>
  </si>
  <si>
    <t>28375706R</t>
  </si>
  <si>
    <t>Deska izolační stabilizovaná EPS 200 1000 x 500 mm kód spec.stand.801</t>
  </si>
  <si>
    <t>141,71*0,12*1,1</t>
  </si>
  <si>
    <t>PDL/01 : 55,31*0,17*1,1</t>
  </si>
  <si>
    <t>998713101R00</t>
  </si>
  <si>
    <t>Přesun hmot pro izolace tepelné, výšky do 6 m</t>
  </si>
  <si>
    <t>Odkaz na hmot. položky pořadí 77 : 0,00000</t>
  </si>
  <si>
    <t>Odkaz na hmot. položky pořadí 78 : 0,87146</t>
  </si>
  <si>
    <t>713121118R00</t>
  </si>
  <si>
    <t>Montáž dilatačního pásku podél stěn</t>
  </si>
  <si>
    <t>(4,1+5,94+1,8+2,45+1,45+1,8+2,4+1,45+2,55+2,45+1,7+3,91+3,76+2,5)*2</t>
  </si>
  <si>
    <t>28314030R</t>
  </si>
  <si>
    <t>Páska PE okrajová dilatační tl. 10 mm</t>
  </si>
  <si>
    <t>Odkaz na mn. položky pořadí 80 : 76,52000*1,1</t>
  </si>
  <si>
    <t>Odkaz na hmot. položky pořadí 81 : 0,01010</t>
  </si>
  <si>
    <t>762342202RT5</t>
  </si>
  <si>
    <t>Montáž laťování střech, vzdálenost latí do 22 cm včetně dodávky řeziva, latě 6/8cm</t>
  </si>
  <si>
    <t>998762102R00</t>
  </si>
  <si>
    <t>Přesun hmot pro tesařské konstrukce, výšky do 12 m</t>
  </si>
  <si>
    <t>Odkaz na hmot. položky pořadí 84 : 0,93529</t>
  </si>
  <si>
    <t>763183141R00</t>
  </si>
  <si>
    <t>Montáž dřevěných sendvičových střešních panelů</t>
  </si>
  <si>
    <t>8,95*15,65</t>
  </si>
  <si>
    <t>607170000R</t>
  </si>
  <si>
    <t>CLT stropní panel tl.145mm s biodeskou z modřínu</t>
  </si>
  <si>
    <t>Odkaz na mn. položky pořadí 86 : 140,06750*1,1</t>
  </si>
  <si>
    <t>998763101R00</t>
  </si>
  <si>
    <t>Přesun hmot pro dřevostavby, výšky do 12 m</t>
  </si>
  <si>
    <t>Odkaz na hmot. položky pořadí 87 : 7,70371</t>
  </si>
  <si>
    <t>Odkaz na hmot. položky pořadí 86 : 0,04342</t>
  </si>
  <si>
    <t>764718102R00</t>
  </si>
  <si>
    <t>Žlab podokapní půlkruh.z Al plechu lak.,průměr 100mm K/01</t>
  </si>
  <si>
    <t>včetně háku a čel.</t>
  </si>
  <si>
    <t>764718109R00</t>
  </si>
  <si>
    <t>Odpadní trouby kruhové z Al plechu lak., D 100 mm K/02</t>
  </si>
  <si>
    <t>včetně kolen, objímek, spojovacího materiálu a zednické výpomoci.</t>
  </si>
  <si>
    <t>712378004R00</t>
  </si>
  <si>
    <t>Závětrná lišta rš 250 mm, pozink.plech s vrtvou z měkčeného PVC K/03</t>
  </si>
  <si>
    <t>712378001R00</t>
  </si>
  <si>
    <t>Okapnicový plech rš 150 mm pozink.plech a vrstvou měkčeného PVC K/04</t>
  </si>
  <si>
    <t>998764101R00</t>
  </si>
  <si>
    <t>Přesun hmot pro klempířské konstr., výšky do 6 m</t>
  </si>
  <si>
    <t>Odkaz na hmot. položky pořadí 89 : 0,00308</t>
  </si>
  <si>
    <t>Odkaz na hmot. položky pořadí 90 : 0,03152</t>
  </si>
  <si>
    <t>Odkaz na hmot. položky pořadí 91 : 0,06440</t>
  </si>
  <si>
    <t>Odkaz na hmot. položky pořadí 92 : 0,01936</t>
  </si>
  <si>
    <t>766412121R00</t>
  </si>
  <si>
    <t>Obložení stěn nad 1 m2 palubkami MD, š. do 6 cm</t>
  </si>
  <si>
    <t>61191740Ra</t>
  </si>
  <si>
    <t>Palubka obkladová MD tloušťka 40 šíře do 60 mm</t>
  </si>
  <si>
    <t>Odkaz na mn. položky pořadí 94 : 8,14000*1,1</t>
  </si>
  <si>
    <t>766414143R00</t>
  </si>
  <si>
    <t>Obložení stěn pl. do 5 m2, deskami nad 1,5 m2</t>
  </si>
  <si>
    <t>60621708R</t>
  </si>
  <si>
    <t>Překližka truhlářská vodovzdorná tl.21mm</t>
  </si>
  <si>
    <t>Odkaz na mn. položky pořadí 96 : 4,69300*1,1</t>
  </si>
  <si>
    <t>766417111R00</t>
  </si>
  <si>
    <t>Podkladový rošt pod obložení stěn včetně materiálu - latě smrkové 20/40mm</t>
  </si>
  <si>
    <t>7,4*3</t>
  </si>
  <si>
    <t>7661</t>
  </si>
  <si>
    <t>998766101R00</t>
  </si>
  <si>
    <t>Přesun hmot pro truhlářské konstr., výšky do 6 m</t>
  </si>
  <si>
    <t>Odkaz na hmot. položky pořadí 94 : 0,00163</t>
  </si>
  <si>
    <t>Odkaz na hmot. položky pořadí 95 : 0,10924</t>
  </si>
  <si>
    <t>Odkaz na hmot. položky pořadí 96 : 0,00084</t>
  </si>
  <si>
    <t>Odkaz na hmot. položky pořadí 97 : 0,06504</t>
  </si>
  <si>
    <t>Odkaz na hmot. položky pořadí 98 : 0,00400</t>
  </si>
  <si>
    <t>767843130R00</t>
  </si>
  <si>
    <t>Kotvicí bod dl. 300 mm nerez, pro tenké dřev.kce  ozn.U1</t>
  </si>
  <si>
    <t>767849142R00</t>
  </si>
  <si>
    <t>Montážní lano 14 mm, délka 23 m</t>
  </si>
  <si>
    <t>767849131R00</t>
  </si>
  <si>
    <t>Štítek k označní jednotlivých úseků kotv.vedení</t>
  </si>
  <si>
    <t>771101101R00</t>
  </si>
  <si>
    <t>Vysávání podlah prům.vysavačem pro pokládku dlažby</t>
  </si>
  <si>
    <t>771101210R00</t>
  </si>
  <si>
    <t>Penetrace podkladu pod dlažby</t>
  </si>
  <si>
    <t>771575109R00</t>
  </si>
  <si>
    <t>Montáž podlah keramických, tmel, 30x30 cm</t>
  </si>
  <si>
    <t>771575113R00</t>
  </si>
  <si>
    <t>Montáž podlah keramických, tmel, 30x60 cm</t>
  </si>
  <si>
    <t>59764210Ra</t>
  </si>
  <si>
    <t>Dlažba  keramická 300x300x9 mm, protiskluznost R11/B, reliéfní matná, šedá, slinutá, neglazovaná kód spec.standar.303</t>
  </si>
  <si>
    <t>Odkaz na mn. položky pořadí 108 : 35,02000*1,1</t>
  </si>
  <si>
    <t>597642060Ra</t>
  </si>
  <si>
    <t>Dlažba keramická 300x600x10mm, šedá-imitace betonu, slinutá, prootiskluznost R11/B, mrazuvzdorná kód spec.standar.302</t>
  </si>
  <si>
    <t>Odkaz na mn. položky pořadí 109 : 20,29000*1,1</t>
  </si>
  <si>
    <t>781419705RT2</t>
  </si>
  <si>
    <t>Příplatek za spárovací hmotu-plošně, šedá pro úzké spáry do 8mm</t>
  </si>
  <si>
    <t>998771101R00</t>
  </si>
  <si>
    <t>Přesun hmot pro podlahy z dlaždic, výšky do 6 m</t>
  </si>
  <si>
    <t>Odkaz na hmot. položky pořadí 107 : 0,01162</t>
  </si>
  <si>
    <t>Odkaz na hmot. položky pořadí 108 : 0,17650</t>
  </si>
  <si>
    <t>Odkaz na hmot. položky pořadí 109 : 0,10449</t>
  </si>
  <si>
    <t>Odkaz na hmot. položky pořadí 110 : 0,73962</t>
  </si>
  <si>
    <t>Odkaz na hmot. položky pořadí 111 : 0,42852</t>
  </si>
  <si>
    <t>Odkaz na hmot. položky pořadí 112 : 0,01659</t>
  </si>
  <si>
    <t>781101210R00</t>
  </si>
  <si>
    <t>Penetrace podkladu pod obklady</t>
  </si>
  <si>
    <t>včetně dodávky materiálu.</t>
  </si>
  <si>
    <t>Odkaz na mn. položky pořadí 115 : 23,56200</t>
  </si>
  <si>
    <t>Odkaz na mn. položky pořadí 117 : 97,54000</t>
  </si>
  <si>
    <t>781475114R00</t>
  </si>
  <si>
    <t>Obklad vnitřní stěn keramický, do tmele, 20x20 cm</t>
  </si>
  <si>
    <t>12,24+11,322</t>
  </si>
  <si>
    <t>59761001Ra</t>
  </si>
  <si>
    <t>Keramický obklad 20x20cm, tl.6mm, bílá, hladký lesklý kód spec.stand. 305</t>
  </si>
  <si>
    <t>Odkaz na mn. položky pořadí 115 : 23,56200*1,1</t>
  </si>
  <si>
    <t>12,24*1,1</t>
  </si>
  <si>
    <t>781475120R00</t>
  </si>
  <si>
    <t>Obklad vnitřní stěn keramický, do tmele, 30x60 cm</t>
  </si>
  <si>
    <t>97,54</t>
  </si>
  <si>
    <t>5796100Ra</t>
  </si>
  <si>
    <t>Keramický obklad 30x60cm,tl.10mm,šedá, betonový design, matný povrch kód spec.stand. 304</t>
  </si>
  <si>
    <t>97,54*1,1</t>
  </si>
  <si>
    <t>998781101R00</t>
  </si>
  <si>
    <t>Přesun hmot pro obklady keramické, výšky do 6 m</t>
  </si>
  <si>
    <t>Odkaz na hmot. položky pořadí 114 : 0,02543</t>
  </si>
  <si>
    <t>Odkaz na hmot. položky pořadí 115 : 0,11852</t>
  </si>
  <si>
    <t>Odkaz na hmot. položky pořadí 116 : 0,72857</t>
  </si>
  <si>
    <t>Odkaz na hmot. položky pořadí 117 : 0,52184</t>
  </si>
  <si>
    <t>Odkaz na hmot. položky pořadí 118 : 1,98601</t>
  </si>
  <si>
    <t>Odkaz na hmot. položky pořadí 119 : 0,03633</t>
  </si>
  <si>
    <t>783122710R00</t>
  </si>
  <si>
    <t>Nátěr syntetický OK "A" základní</t>
  </si>
  <si>
    <t>HEA160+TK114x6,3mm : 35*(0,16*4+0,152*2)+2*3,14*0,114/2*13+0,2+0,09</t>
  </si>
  <si>
    <t>783782212R00</t>
  </si>
  <si>
    <t>včetně montáže, dodávky a demontáže lešení.</t>
  </si>
  <si>
    <t>Odkaz na mn. položky pořadí 86 : 140,06750*2</t>
  </si>
  <si>
    <t>783726200R00</t>
  </si>
  <si>
    <t>Nátěr synt. lazurovací tesařských konstr. 2x lak</t>
  </si>
  <si>
    <t>Odkaz na mn. položky pořadí 86 : 140,06750</t>
  </si>
  <si>
    <t>783122111R00</t>
  </si>
  <si>
    <t>Nátěr syntetický OK "A" dvojnásobný, antikorozní RAL 7016</t>
  </si>
  <si>
    <t>Odkaz na mn. položky pořadí 121 : 37,98348</t>
  </si>
  <si>
    <t>784191101R00</t>
  </si>
  <si>
    <t xml:space="preserve">Penetrace podkladu univerzální </t>
  </si>
  <si>
    <t>784195412R01</t>
  </si>
  <si>
    <t>Malba, bílá, bez penetrace, 2 x s tepelně izolačními vlastnostmi kód spec.stand.710</t>
  </si>
  <si>
    <t>174101101R00</t>
  </si>
  <si>
    <t>Zásyp jam, rýh, šachet se zhutněním</t>
  </si>
  <si>
    <r>
      <t xml:space="preserve">Název akce:                        </t>
    </r>
    <r>
      <rPr>
        <b/>
        <sz val="10"/>
        <rFont val="Arial CE"/>
        <family val="2"/>
        <charset val="238"/>
      </rPr>
      <t xml:space="preserve"> Rekonstrukce a rozvoj koupaliště Polanka</t>
    </r>
  </si>
  <si>
    <t xml:space="preserve">                                           Třebíč, areál koupaliště Polanka, k.ú. Třebíč - Podklášteří 769916</t>
  </si>
  <si>
    <t xml:space="preserve">                                           parc.č. 122/1, 122/2, 122/3, 122/4, 122/8, 122/11, 112/8, 2027</t>
  </si>
  <si>
    <t xml:space="preserve">Stavební objekty:                  SO 12   OBČERSTVENÍ - POOL BAR
</t>
  </si>
  <si>
    <t xml:space="preserve">Stavebník:                            Město Třebíč, Karlovo náměstí 104/55, 674 01 Třebíč
</t>
  </si>
  <si>
    <t>Místo stavby:                        k.ú. Třebíč - Podklášteří 769916</t>
  </si>
  <si>
    <t>Generální projektant:             VMS projekt s.r.o.</t>
  </si>
  <si>
    <t xml:space="preserve">                                           sídlo:  Novorossijská 16, 100 00 Praha 10 - Vršovice
</t>
  </si>
  <si>
    <t xml:space="preserve">                                           kancelář: Čerčanská 640/30b, 140 00 Praha 4 - Krč</t>
  </si>
  <si>
    <r>
      <t xml:space="preserve">Stupeň:                                </t>
    </r>
    <r>
      <rPr>
        <b/>
        <sz val="10"/>
        <rFont val="Arial CE"/>
        <family val="2"/>
        <charset val="238"/>
      </rPr>
      <t>Dokumentace pro provádění stavby (DPS)</t>
    </r>
  </si>
  <si>
    <r>
      <t xml:space="preserve">Obsah dokumentace:            </t>
    </r>
    <r>
      <rPr>
        <b/>
        <sz val="10"/>
        <color indexed="8"/>
        <rFont val="Arial"/>
        <family val="2"/>
        <charset val="238"/>
      </rPr>
      <t xml:space="preserve">D.1.4.4 VZDUCHOTECHNIKA A CHLAZENÍ </t>
    </r>
  </si>
  <si>
    <t>Číslo zakázky:                      33-2021</t>
  </si>
  <si>
    <t>OCENĚNÝ SEZNAM STROJŮ A ZAŘÍZENÍ</t>
  </si>
  <si>
    <t>D.1.4.4-04a</t>
  </si>
  <si>
    <t>REKAPITULACE</t>
  </si>
  <si>
    <t>VZDUCHOTECHNIKA</t>
  </si>
  <si>
    <t>ZAŘÍZENÍ č.1</t>
  </si>
  <si>
    <t>ZAŘÍZENÍ č.2</t>
  </si>
  <si>
    <t>SPOLEČNÝ MATERIÁL</t>
  </si>
  <si>
    <t>VZDUCHOTECHNIKA A CHLAZENÍ CELKEM (BEZ DPH)</t>
  </si>
  <si>
    <t>POZNÁMKA :</t>
  </si>
  <si>
    <t>Oceněný seznam strojů a zařízení je zpracován dle položek katalogu popisů a směrných cen stavebních prací ÚRS Praha pro</t>
  </si>
  <si>
    <t xml:space="preserve">cenovou úroveň 2023/I. To znamená, že příslušná položka obsahuje práce a materíály dle "Všeobecných podmínek" příslušného katalogu. </t>
  </si>
  <si>
    <t>Položky v katalogu neuvedené jsou ve výkazu uvedeny pod neúplným číslem položky, případně bez čísla.</t>
  </si>
  <si>
    <t>Pokud jsou v seznamu uvedeny konkrétní výrobky (případně obchodní názvy), slouží pro popis požadovaného standardu</t>
  </si>
  <si>
    <t xml:space="preserve">a ve většině případů nezakládají povinnost dodavatele stavby použít tyto konkrétní výrobky. </t>
  </si>
  <si>
    <t>Výrobky použité dodavatelem musí být srovnatelné s uvedeným standardem nebo mohou být ve standardu lepším.</t>
  </si>
  <si>
    <t>Oceněný seznam strojů a zařízení je proveden na úrovni dokumentace pro provádění stavby.</t>
  </si>
  <si>
    <t>Č.</t>
  </si>
  <si>
    <t>Popis položky</t>
  </si>
  <si>
    <t>M.J.</t>
  </si>
  <si>
    <t>Jednotková cena</t>
  </si>
  <si>
    <t>Náklady celkem</t>
  </si>
  <si>
    <t>Hmotnost</t>
  </si>
  <si>
    <t>Hmotnost celkem</t>
  </si>
  <si>
    <t>800-751</t>
  </si>
  <si>
    <t>Zařízení č. 1 – Odvod vzduchu od varného bloku Pool baru č. 1.01</t>
  </si>
  <si>
    <t>751 34-4122</t>
  </si>
  <si>
    <t xml:space="preserve">Montáž tl. hluku pro čtyřhr. potrubí, průřezu přes 0,15 do 0,3 m² </t>
  </si>
  <si>
    <t>ks</t>
  </si>
  <si>
    <t>Vložka kulis. tlum. hluku 100x310-1000</t>
  </si>
  <si>
    <t>751 12-XXXX</t>
  </si>
  <si>
    <t>Montáž kuchyňského odvodního ventilátoru</t>
  </si>
  <si>
    <t>Odvodní kuchyňský ventilátor s motorem mimo proud vzdušniny,</t>
  </si>
  <si>
    <t>velikost skříně - 670 mm, průměr oběžného kola - 400 mm,</t>
  </si>
  <si>
    <t>počet pólů - 4, jednofázový elektromotor,</t>
  </si>
  <si>
    <t>Řízení chodu ventilátoru řeší profese EI nebo MaR.</t>
  </si>
  <si>
    <t xml:space="preserve">751 51-4714 </t>
  </si>
  <si>
    <t>Montáž výf. tvarovky do plech. potrubí čtyřhranného s přírubou</t>
  </si>
  <si>
    <r>
      <t>průřezu přes 0,140 do 0,210 m</t>
    </r>
    <r>
      <rPr>
        <sz val="10"/>
        <rFont val="Calibri"/>
        <family val="2"/>
        <charset val="238"/>
      </rPr>
      <t>²</t>
    </r>
  </si>
  <si>
    <t>Šikmá výfuková tvarovka s mřížkou 630x315 mm</t>
  </si>
  <si>
    <t>751 51-0013</t>
  </si>
  <si>
    <t>Vzduchotechnické potrubí z pozinkovaného plechu, čtyřhranné</t>
  </si>
  <si>
    <t>s přírubou, průřezu přes 0,07 do 0,13 m²,</t>
  </si>
  <si>
    <t xml:space="preserve">včetně nákladů na dodání a montáž trub včetně tvarovek, </t>
  </si>
  <si>
    <t>dodání a osazení přírubových lišt a tmelení akrylovým tmelem.</t>
  </si>
  <si>
    <t>751 51-0014</t>
  </si>
  <si>
    <t>mezisoučet</t>
  </si>
  <si>
    <t>Přesun hmot</t>
  </si>
  <si>
    <t>998 75-1101</t>
  </si>
  <si>
    <t>v objektech výšky do 12 m</t>
  </si>
  <si>
    <t>Zařízení č. 1 celkem</t>
  </si>
  <si>
    <t>Zařízení č. 2 – Odvětrání úklidové místnosti č. 1.04, WC muži 1.05, WC ženy č. 1.06 a WC+sprcha inv č.1.07</t>
  </si>
  <si>
    <t>751 39-8022</t>
  </si>
  <si>
    <t xml:space="preserve">Montáž větrací mřížky stěnové, průřezu od 0,04 do 0,1 m² </t>
  </si>
  <si>
    <t>Stěn. mřížka 520x100, vč. upevňovacího rámečku</t>
  </si>
  <si>
    <t>3 ks stěnové mřížky v barvě RAL 7037, 3 ks v barvě černé,</t>
  </si>
  <si>
    <t>(instalaci up. rámečku provede stavba)</t>
  </si>
  <si>
    <t>751 39-8021</t>
  </si>
  <si>
    <t xml:space="preserve">Montáž větrací mřížky stěnové, průřezu do 0,04 m² </t>
  </si>
  <si>
    <t>Stěn. mřížka 200x100, vč. upevňovacího rámečku</t>
  </si>
  <si>
    <t>1 ks stěnové mřížky v barvě bílé, 1 ks v barvě černé,</t>
  </si>
  <si>
    <t>751 32-2012</t>
  </si>
  <si>
    <t>Montáž talířového ventilu, průměru přes 100 do 200 mm</t>
  </si>
  <si>
    <r>
      <t xml:space="preserve">Odvodní talířový ventil </t>
    </r>
    <r>
      <rPr>
        <sz val="7"/>
        <color indexed="8"/>
        <rFont val="Arial"/>
        <family val="2"/>
        <charset val="238"/>
      </rPr>
      <t>Ø</t>
    </r>
    <r>
      <rPr>
        <sz val="10"/>
        <rFont val="Arial"/>
        <family val="2"/>
        <charset val="1"/>
      </rPr>
      <t>125 mm, včetně montážního kroužku</t>
    </r>
  </si>
  <si>
    <r>
      <t xml:space="preserve">Odvodní talířový ventil </t>
    </r>
    <r>
      <rPr>
        <sz val="7"/>
        <color indexed="8"/>
        <rFont val="Arial"/>
        <family val="2"/>
        <charset val="238"/>
      </rPr>
      <t>Ø</t>
    </r>
    <r>
      <rPr>
        <sz val="10"/>
        <rFont val="Arial"/>
        <family val="2"/>
        <charset val="1"/>
      </rPr>
      <t>160 mm, včetně montážního kroužku</t>
    </r>
  </si>
  <si>
    <t>751 34-4112</t>
  </si>
  <si>
    <t>Montáž tl. hluku pro kruh. potrubí,průměru přes 100 do 200 mm</t>
  </si>
  <si>
    <t>Tlumič hluku DN 200-600</t>
  </si>
  <si>
    <t>751 11-1131</t>
  </si>
  <si>
    <t>Montáž ventilátoru potrubního, průměru do 200 mm</t>
  </si>
  <si>
    <t>V=650 m³/h; ∆pext=cca 180 Pa; Pi= 133 W; 0,56 A; 230 V; 50 Hz;</t>
  </si>
  <si>
    <t>tři stupně otáček, doběh, včetně třípolohového přepínače otáček,</t>
  </si>
  <si>
    <t>včetně 2 ks upevňovacích manžet</t>
  </si>
  <si>
    <t>751 51-4679</t>
  </si>
  <si>
    <t>Montáž zpětné klapky kruhové, průměru přes 100 do 200 mm</t>
  </si>
  <si>
    <t>751 39-8012</t>
  </si>
  <si>
    <t>Montáž větrací mřížky na kruhové potrubí prům. přes 100 do 200 mm</t>
  </si>
  <si>
    <t>Plastová větrací mřížka, průměr 200 mm, barva černá</t>
  </si>
  <si>
    <t>751 51-0042</t>
  </si>
  <si>
    <t>Vzduchotechnické potrubí z pozinkovaného plechu, kruhové</t>
  </si>
  <si>
    <t>bez příruby, průměru přes 100 do 200 mm,</t>
  </si>
  <si>
    <t>včetně nákladů na dodání a montáž trub včetně tvarovek</t>
  </si>
  <si>
    <t>Zařízení č. 2 celkem</t>
  </si>
  <si>
    <t>Společný materiál:</t>
  </si>
  <si>
    <t xml:space="preserve">Materiál na závěsy potrubí vyráběné při montáži, </t>
  </si>
  <si>
    <t>konzoly a jiné podpůrné konstrukce</t>
  </si>
  <si>
    <t xml:space="preserve">Spojovací, těsnící a ostatní drobný montážní materiál </t>
  </si>
  <si>
    <t>Tepelná izolace na bázi minerální vlny tl. 40 mm</t>
  </si>
  <si>
    <t>m²</t>
  </si>
  <si>
    <t>pro izolaci VZT ve venkovním prostoru, včetně montáže</t>
  </si>
  <si>
    <t>Pozink. plech na oplechování venkovní části VZT zařízení</t>
  </si>
  <si>
    <t>Nátěry oplechování venkovních částí VZT potrubí (odstín RAL 7040)</t>
  </si>
  <si>
    <t>Doprava</t>
  </si>
  <si>
    <t>Výpomoce</t>
  </si>
  <si>
    <t>Komplexní vyzkoušení, vyregulování a seřízení, zaškolení obsluhy</t>
  </si>
  <si>
    <t>hod</t>
  </si>
  <si>
    <t>Společný materiál celkem</t>
  </si>
  <si>
    <t xml:space="preserve">Množství   </t>
  </si>
  <si>
    <t>Jedn.</t>
  </si>
  <si>
    <t>cena/ks</t>
  </si>
  <si>
    <t>cena celkem</t>
  </si>
  <si>
    <t>montáž/ks</t>
  </si>
  <si>
    <t>montáž celkem</t>
  </si>
  <si>
    <t>Strukturovaná kabeláž (SK)</t>
  </si>
  <si>
    <t>19" nástěnný rozvaděč S-RACK 12U 600 x 600mm (v=646mm, š=600mm, h=600mm)</t>
  </si>
  <si>
    <t>střešní ventilace pro S-rack, 4 ventilátory,digit.termostat</t>
  </si>
  <si>
    <t xml:space="preserve">19" nap.panel 8x230V ČSN,vypínač,přep.och.,tep.pojistka, 3m </t>
  </si>
  <si>
    <t xml:space="preserve">patchpanel 19" 24portů 1U </t>
  </si>
  <si>
    <t>19" vyvazovací panel 1U, 5x oko oceloplechové</t>
  </si>
  <si>
    <t>19"FO vana kompletní, 24xLC, 9/125µm OS2, výška 1U</t>
  </si>
  <si>
    <t>záslepka prázdného portu v patchpanelu HSER0, RAL 901</t>
  </si>
  <si>
    <t>konektor RJ45 (pro kabel FTP cat. 6)</t>
  </si>
  <si>
    <t>datová zásuvka pod omítku pro 2 moduly (45°),prázdná,RAL9010</t>
  </si>
  <si>
    <t>datová zásuvka zapuštěná pro 1 modul(45st),prázdná, RAL 9010</t>
  </si>
  <si>
    <t>box na omítku pro zásuvky HSED0xUWxS, HSEDx2UWxF, RAL 9010</t>
  </si>
  <si>
    <t xml:space="preserve">šrouby a příslušenství k modulární zásuvce </t>
  </si>
  <si>
    <t>krabice přístrojová KP68</t>
  </si>
  <si>
    <t>krabice KUL 68-45/LD univerzální</t>
  </si>
  <si>
    <t>IP dome kamera, 4MP, MZVF, 8-32mm, WDR 140dB, 6 typů VA (AI), IR 50m, IP67</t>
  </si>
  <si>
    <t>Modul MiniGBIC/ SFP 1000Base MM (LC)</t>
  </si>
  <si>
    <t>optický patch cord 2m LC/LC duplex 9/125 OS2</t>
  </si>
  <si>
    <t>průmyslový managed switch 19"/1U, LAN-RING, 2x SFP, 4x SFP/GE, 16x FE PoE</t>
  </si>
  <si>
    <t>stíněný patch cord 1m cat.6</t>
  </si>
  <si>
    <t xml:space="preserve">Kabel FTP cat. 6 </t>
  </si>
  <si>
    <t>Kabel FTP PE cat 6</t>
  </si>
  <si>
    <t>Optický kabel 12vl 9/125 OS2</t>
  </si>
  <si>
    <t>chránička optického kabelu HDPE 40</t>
  </si>
  <si>
    <t>Drážka pro chráničku průměr 20mm</t>
  </si>
  <si>
    <t>Trubka šedá ohebná, prům. 20mm</t>
  </si>
  <si>
    <t xml:space="preserve">Trubka UV stabilní neohebná, prům. 32mm + příchytky, spojky atd. </t>
  </si>
  <si>
    <t>Trubka UV stabilní ohebná, prům. 32mm + příchytky, spojky atd.</t>
  </si>
  <si>
    <t>Lišta vkládací  LV60x40</t>
  </si>
  <si>
    <t>Lišta vkládací  LV40x40</t>
  </si>
  <si>
    <t>Lišta vkládací  LV40x20</t>
  </si>
  <si>
    <t>stožár 3m včetně příslušenství pro ukotvení (umístění na věži tobogánu)</t>
  </si>
  <si>
    <t>kpl</t>
  </si>
  <si>
    <t xml:space="preserve">Drobný montážní materiál (texy, zdrhovací pásky, vruty hmoždinky atd.)  </t>
  </si>
  <si>
    <t>Sváry optického vlákna</t>
  </si>
  <si>
    <t>Certifikační měření optické a metalické kabeláže včetně měřícího protokolu</t>
  </si>
  <si>
    <t xml:space="preserve">Montáž </t>
  </si>
  <si>
    <t>Protipožární ucpávky</t>
  </si>
  <si>
    <t>Poplachový zabezpečovací a tísňový systém (PZTS)</t>
  </si>
  <si>
    <t>Modul posilovacího zdroje 2,75A v krytu s vestavěným koncentrátorem (P026-B)</t>
  </si>
  <si>
    <t>Akumulátor 12V / 12Ah, konektor Faston 187, životnost až 3 roky (UT12120)</t>
  </si>
  <si>
    <t>LCD klávesnice (MK7)</t>
  </si>
  <si>
    <t>PIR detektor DUAL element s držákem, vějíř 15m, montážní výška 1,8 - 2,4m, EOL  (KX15DD)</t>
  </si>
  <si>
    <t>Venkovní PIR detektor, det. char. 12 m / 120°, mont. výška 2,5 m / 1,2 - 1,5 m (LX402)</t>
  </si>
  <si>
    <t>Signalizace WC invalida</t>
  </si>
  <si>
    <t>Signální tlačítko FAP 3002</t>
  </si>
  <si>
    <t>Resetovací tlačítko FAP 2001</t>
  </si>
  <si>
    <t>Signalizace opticko akustická (kontrolní modul) FEH 2001</t>
  </si>
  <si>
    <t>Transformátor FLM 1000</t>
  </si>
  <si>
    <t>Signalizace u plavčíka SA913F nebo ART1490BZ</t>
  </si>
  <si>
    <t>Lišta vkládací  LV15x15</t>
  </si>
  <si>
    <t>Ozvučení (OZV)</t>
  </si>
  <si>
    <t>Kabel CYKY-O 2x2,5</t>
  </si>
  <si>
    <t>Kabel CYSY 2x1,5</t>
  </si>
  <si>
    <t>Výkop 40cm široký 100cm hluboký</t>
  </si>
  <si>
    <t>V=1500 m³/h; ∆pext=cca 300 Pa; Piv= 0,53 kW;  2,2 A; 230 V; 50 Hz;</t>
  </si>
  <si>
    <t>včetně pětipolohového regulátoru otáček.</t>
  </si>
  <si>
    <t xml:space="preserve"> 751 51-4614</t>
  </si>
  <si>
    <t xml:space="preserve">Montáž zpětné klapky do plechového potrubí čtyřhranné s přírubou, </t>
  </si>
  <si>
    <t>průřezu přes 0,140 do 0,210 m2</t>
  </si>
  <si>
    <t>Zpětná samočinná klapka do čtyřhranného potrubí 630x315 mm</t>
  </si>
  <si>
    <r>
      <t xml:space="preserve">Ventilátor do kruhového potrubí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200 mm,</t>
    </r>
  </si>
  <si>
    <r>
      <t xml:space="preserve">Zpětná klapka těsná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200 mm, samočinná</t>
    </r>
  </si>
  <si>
    <t>pro izolaci VZT ve vnitřním prostoru, včetně montáže</t>
  </si>
  <si>
    <t>Stavební rozpočet</t>
  </si>
  <si>
    <t>Č</t>
  </si>
  <si>
    <t>Kód</t>
  </si>
  <si>
    <t>Zkrácený popis</t>
  </si>
  <si>
    <t>Jednotková cena (Kč)</t>
  </si>
  <si>
    <t>Náklady celkem (Kč)</t>
  </si>
  <si>
    <t>GROUPCODE</t>
  </si>
  <si>
    <t>ISWORK</t>
  </si>
  <si>
    <t xml:space="preserve"> </t>
  </si>
  <si>
    <t>800-1</t>
  </si>
  <si>
    <t>131201201R00</t>
  </si>
  <si>
    <t>Hloubení zapažených jam v hor.3 do 100 m3</t>
  </si>
  <si>
    <t>P</t>
  </si>
  <si>
    <t>131201209R00</t>
  </si>
  <si>
    <t>Příplatek za lepivost - hloubení zapaž.jam v hor.3</t>
  </si>
  <si>
    <t>131301201R00</t>
  </si>
  <si>
    <t>Hloubení zapažených jam v hor.4 do 100 m3</t>
  </si>
  <si>
    <t>131301209R00</t>
  </si>
  <si>
    <t>Příplatek za lepivost - hloubení zapaž.jam v hor.4</t>
  </si>
  <si>
    <t>131201110R00</t>
  </si>
  <si>
    <t>Hloubení nezapaž. jam hor.3 do 50 m3, STROJNĚ</t>
  </si>
  <si>
    <t>132201119R00</t>
  </si>
  <si>
    <t>Přípl.za lepivost,hloubení rýh 60 cm,hor.3,STROJNĚ</t>
  </si>
  <si>
    <t>132301110R00</t>
  </si>
  <si>
    <t>Hloubení rýh š.do 60 cm v hor.4 do 50 m3,STROJNĚ</t>
  </si>
  <si>
    <t>132301119R00</t>
  </si>
  <si>
    <t>Přípl.za lepivost,hloubení rýh 60 cm,hor.4,STROJNĚ</t>
  </si>
  <si>
    <t>Nakládání výkopku z hor. 1 ÷ 4 v množství do 100 m3</t>
  </si>
  <si>
    <t>175101101R00</t>
  </si>
  <si>
    <t>Obsyp potrubí bez prohození sypaniny</t>
  </si>
  <si>
    <t>171201211VD</t>
  </si>
  <si>
    <t>Skládková zemina</t>
  </si>
  <si>
    <t>181101101R00</t>
  </si>
  <si>
    <t>Úprava pláně v zářezech v hor. 1-4, bez zhutnění</t>
  </si>
  <si>
    <t>181201102R00</t>
  </si>
  <si>
    <t>Úprava pláně v násypech v hor. 1-4, se zhutněním</t>
  </si>
  <si>
    <t>45</t>
  </si>
  <si>
    <t>Podkladní a vedlejší konstrukce</t>
  </si>
  <si>
    <t>451572111R00</t>
  </si>
  <si>
    <t>Lože pod potrubí z kameniva těženého 0 - 4 mm</t>
  </si>
  <si>
    <t>451541111R00</t>
  </si>
  <si>
    <t>Lože pod potrubí ze štěrkodrtě 0 - 63 mm</t>
  </si>
  <si>
    <t>452313131R00</t>
  </si>
  <si>
    <t>Bloky pro potrubí z betonu C 12/15</t>
  </si>
  <si>
    <t>452353101R00</t>
  </si>
  <si>
    <t>Bednění bloků pod potrubí</t>
  </si>
  <si>
    <t>89</t>
  </si>
  <si>
    <t>Ostatní konstrukce a práce na trubním vedení</t>
  </si>
  <si>
    <t>892855113R00</t>
  </si>
  <si>
    <t>Kontrola kanalizace TV kamerou do 100 m</t>
  </si>
  <si>
    <t>894432112R00</t>
  </si>
  <si>
    <t>Osazení plastové šachty revizní prům.425 mm</t>
  </si>
  <si>
    <t>899103111R00</t>
  </si>
  <si>
    <t>Osazení poklopu litinového s rámem do 150 kg</t>
  </si>
  <si>
    <t>55241704</t>
  </si>
  <si>
    <t>Poklop litina 425/12,5 t kruhový do teleskopu</t>
  </si>
  <si>
    <t>M</t>
  </si>
  <si>
    <t>55243344.A</t>
  </si>
  <si>
    <t>Poklop litinový D 605 mm, B125 bez odvětrání</t>
  </si>
  <si>
    <t>56241551VD</t>
  </si>
  <si>
    <t>Lapák tuků, kruhový, dvouplášťový, rozměr 1600/1930 mm, NS=4, pod hladinu spodní vody</t>
  </si>
  <si>
    <t>soubor</t>
  </si>
  <si>
    <t>56241552VD</t>
  </si>
  <si>
    <t>Nástavec pro lapák tuků</t>
  </si>
  <si>
    <t>56241553VD</t>
  </si>
  <si>
    <t>Doprava lapáku tuků</t>
  </si>
  <si>
    <t>386942112R00</t>
  </si>
  <si>
    <t>Montáž odlučovačů tuků velikosti 4</t>
  </si>
  <si>
    <t>894431311RBA</t>
  </si>
  <si>
    <t>Šachta, D 425 mm, dl.šach.roury 1,50 m, přímá</t>
  </si>
  <si>
    <t>998276101R00</t>
  </si>
  <si>
    <t>Přesun hmot, trubní vedení plastová, otevř. výkop</t>
  </si>
  <si>
    <t>721</t>
  </si>
  <si>
    <t>Vnitřní kanalizace</t>
  </si>
  <si>
    <t>721170962R00</t>
  </si>
  <si>
    <t>Propojení dosavadního potrubí, D 63 mm</t>
  </si>
  <si>
    <t>721170963R00</t>
  </si>
  <si>
    <t>Propojení dosavadního potrubí, D 75 mm</t>
  </si>
  <si>
    <t>721170965R00</t>
  </si>
  <si>
    <t>Propojení dosavadního potrubí, D 110 mm</t>
  </si>
  <si>
    <t>721176222R00</t>
  </si>
  <si>
    <t>Potrubí KG svodné (ležaté) v zemi, D 110 x 3,2 mm</t>
  </si>
  <si>
    <t>721176223R00</t>
  </si>
  <si>
    <t>Potrubí KG svodné (ležaté) v zemi, D 125 x 3,2 mm</t>
  </si>
  <si>
    <t>721176224R00</t>
  </si>
  <si>
    <t>Potrubí KG svodné (ležaté) v zemi, D 160 x 4,0 mm</t>
  </si>
  <si>
    <t>721177102R00</t>
  </si>
  <si>
    <t>Potrubí odhlučněné, třívrstvé z PP, připojovací, D 40 x 1,8 mm</t>
  </si>
  <si>
    <t>721177103R00</t>
  </si>
  <si>
    <t>Potrubí odhlučněné, třívrstvé z PP, připojovací, D 50 x 2,0 mm</t>
  </si>
  <si>
    <t>721177105R00</t>
  </si>
  <si>
    <t>Potrubí odhlučněné, třívrstvé z PP, připojovací, D 110 x 3,4 mm</t>
  </si>
  <si>
    <t>721177114R00</t>
  </si>
  <si>
    <t>Potrubí odhlučněné, třívrstvé z PP, odpadní svislé, D 75 x 2,6 mm</t>
  </si>
  <si>
    <t>721177115R00</t>
  </si>
  <si>
    <t>Potrubí odhlučněné, třívrstvé z PP, odpadní svislé, D 110 x 3,4 mm</t>
  </si>
  <si>
    <t>721177125R00</t>
  </si>
  <si>
    <t>Čisticí kus pro potrubí odhlučněné, třívrstvé, odpadní svislé, D 110 mm</t>
  </si>
  <si>
    <t>721194103R00</t>
  </si>
  <si>
    <t>Vyvedení odpadních výpustek, D 32 mm</t>
  </si>
  <si>
    <t>721194104R00</t>
  </si>
  <si>
    <t>Vyvedení odpadních výpustek, D 40 mm</t>
  </si>
  <si>
    <t>721194105R00</t>
  </si>
  <si>
    <t>Vyvedení odpadních výpustek, D 50 mm</t>
  </si>
  <si>
    <t>721194109R00</t>
  </si>
  <si>
    <t>Vyvedení odpadních výpustek, D 110 mm</t>
  </si>
  <si>
    <t>721223423RT2</t>
  </si>
  <si>
    <t>Vpusť podlahová se zápachovou uzávěrkou, mřížka nerez 115 x 115 mm, D 50/75/110 mm</t>
  </si>
  <si>
    <t>28653001VD</t>
  </si>
  <si>
    <t>28653005VD</t>
  </si>
  <si>
    <t>Nerezová podl. vpusť s roštem 200 x 200 mm, svislý odtok DN 110, koš na hrubé nečistoty</t>
  </si>
  <si>
    <t>721223901T00VD</t>
  </si>
  <si>
    <t>Montáž podlahové vpusti</t>
  </si>
  <si>
    <t>721242115R00</t>
  </si>
  <si>
    <t>Lapač střešních splavenin litinový, DN 100 mm</t>
  </si>
  <si>
    <t>721273145R00</t>
  </si>
  <si>
    <t>Nástavec větrací z PVC, D 110 mm, délka 930 mm</t>
  </si>
  <si>
    <t>721273200RT3</t>
  </si>
  <si>
    <t>Souprava ventilační střešní D 110 mm</t>
  </si>
  <si>
    <t>721290111R00</t>
  </si>
  <si>
    <t>Zkouška těsnosti kanalizace vodou DN 125 mm</t>
  </si>
  <si>
    <t>721290112R00</t>
  </si>
  <si>
    <t>Zkouška těsnosti kanalizace vodou DN 200 mm</t>
  </si>
  <si>
    <t>998721201R00</t>
  </si>
  <si>
    <t>Přesun hmot pro vnitřní kanalizaci, výšky do 6 m</t>
  </si>
  <si>
    <t>722</t>
  </si>
  <si>
    <t>Vnitřní vodovod</t>
  </si>
  <si>
    <t>722172431R00</t>
  </si>
  <si>
    <t>Potrubí plastové PP-RCT, včetně zednických výpomocí, D 20 x 2,3 mm, PN 22</t>
  </si>
  <si>
    <t>722172432R00</t>
  </si>
  <si>
    <t>Potrubí plastové PP-RCT, včetně zednických výpomocí, D 25 x 2,8 mm, PN 22</t>
  </si>
  <si>
    <t>722176112R00</t>
  </si>
  <si>
    <t>Montáž plastového vodovodního potrubí, polyfuzně svařovaného, D 20 mm</t>
  </si>
  <si>
    <t>722176113R00</t>
  </si>
  <si>
    <t>Montáž plastového vodovodního potrubí, polyfuzně svařovaného, D 25 mm</t>
  </si>
  <si>
    <t>722176114R00</t>
  </si>
  <si>
    <t>Montáž plastového vodovodního potrubí, polyfuzně svařovaného, D 32 mm</t>
  </si>
  <si>
    <t>722176115R00</t>
  </si>
  <si>
    <t>Montáž plastového vodovodního potrubí, polyfuzně svařovaného, D 40 mm</t>
  </si>
  <si>
    <t>722178712R00</t>
  </si>
  <si>
    <t>Potrubí vícevrstvé vodovodní, s čedičovým vláknem, polyfuzně svařené, D 25 x 3,5 mm</t>
  </si>
  <si>
    <t>722178713R00</t>
  </si>
  <si>
    <t>Potrubí vícevrstvé vodovodní, s čedičovým vláknem, polyfuzně svařené, D 32 x 4,4 mm</t>
  </si>
  <si>
    <t>722178714R00</t>
  </si>
  <si>
    <t>Potrubí vícevrstvé vodovodní, s čedičovým vláknem, polyfuzně svařené, D 40 x 5,5 mm</t>
  </si>
  <si>
    <t>722181212RZ6</t>
  </si>
  <si>
    <t>Izolace návleková termoizolační trubice (PE pěna), tl. stěny 9 mm, vnitřní průměr 20 mm</t>
  </si>
  <si>
    <t>722181212RT8</t>
  </si>
  <si>
    <t>Izolace návleková termoizolační trubice (PE pěna), tl. stěny 9 mm, vnitřní průměr 25 mm</t>
  </si>
  <si>
    <t>722181214RT8</t>
  </si>
  <si>
    <t>Izolace návleková termoizolační trubice (PE pěna), tl. stěny 20 mm, vnitřní průměr 25 mm</t>
  </si>
  <si>
    <t>722181214RU1</t>
  </si>
  <si>
    <t>Izolace návleková termoizolační trubice (PE pěna), tl. stěny 20 mm, vnitřní průměr 32 mm</t>
  </si>
  <si>
    <t>722181214RV9</t>
  </si>
  <si>
    <t>Izolace návleková termoizolační trubice (PE pěna), tl. stěny 20 mm, vnitřní průměr 40 mm</t>
  </si>
  <si>
    <t>722190401R00</t>
  </si>
  <si>
    <t>Vyvedení a upevnění výpustek DN 15 mm</t>
  </si>
  <si>
    <t>722190402R00</t>
  </si>
  <si>
    <t>Vyvedení a upevnění výpustek DN 20 mm</t>
  </si>
  <si>
    <t>722190405R00</t>
  </si>
  <si>
    <t>Vyvedení a upevnění výpustek DN 50 mm</t>
  </si>
  <si>
    <t>722220111R00</t>
  </si>
  <si>
    <t>Nástěnka, pro výtokový ventil G 1/2"</t>
  </si>
  <si>
    <t>722220112R00</t>
  </si>
  <si>
    <t>Nástěnka, pro výtokový ventil G 3/4"</t>
  </si>
  <si>
    <t>722220121R00</t>
  </si>
  <si>
    <t>Nástěnka, pro baterii G 1/2"</t>
  </si>
  <si>
    <t>pár</t>
  </si>
  <si>
    <t>722229101R00</t>
  </si>
  <si>
    <t>Montáž vodovodních armatur,1závit, G 1/2"</t>
  </si>
  <si>
    <t>722237121R00</t>
  </si>
  <si>
    <t>Kohout vodovodní, kulový, DN 15 mm</t>
  </si>
  <si>
    <t>722237122R00</t>
  </si>
  <si>
    <t>Kohout vodovodní, kulový, DN 20 mm</t>
  </si>
  <si>
    <t>722237124R00</t>
  </si>
  <si>
    <t>Kohout vodovodní, kulový, DN 32 mm</t>
  </si>
  <si>
    <t>722237132R00</t>
  </si>
  <si>
    <t>Kohout vodovodní, kulový s vypouštěním, DN 20 mm</t>
  </si>
  <si>
    <t>722237134R00</t>
  </si>
  <si>
    <t>Kohout vodovodní, kulový s vypouštěním, DN 32 mm</t>
  </si>
  <si>
    <t>722239101R00</t>
  </si>
  <si>
    <t>Montáž vodovodních armatur 2závity, G 1/2"</t>
  </si>
  <si>
    <t>722239102R00</t>
  </si>
  <si>
    <t>Montáž vodovodních armatur 2závity, G 3/4"</t>
  </si>
  <si>
    <t>722239104R00</t>
  </si>
  <si>
    <t>Montáž vodovodních armatur 2závity, G 5/4"</t>
  </si>
  <si>
    <t>722223131R00</t>
  </si>
  <si>
    <t>Kohout vodovodní, kulový, vypouštěcí, DN 15 mm</t>
  </si>
  <si>
    <t>722265113R00</t>
  </si>
  <si>
    <t>Vodoměr domovní SV, DN 20, Qn 2,5 m3/h (resp. Q3 4 m3/h)</t>
  </si>
  <si>
    <t>722269112R00</t>
  </si>
  <si>
    <t>Montáž vodoměru závitového jdnovt. suchob. G3/4"</t>
  </si>
  <si>
    <t>722280106R00</t>
  </si>
  <si>
    <t>Tlaková zkouška vodovodního potrubí DN 32 mm</t>
  </si>
  <si>
    <t>35831100VD</t>
  </si>
  <si>
    <t>Mosazná rychlospojka na vzduchovou hadici G 1/2"</t>
  </si>
  <si>
    <t>722290234R00</t>
  </si>
  <si>
    <t>Proplach a dezinfekce vodovodního potrubí DN 80 mm</t>
  </si>
  <si>
    <t>732339101R00</t>
  </si>
  <si>
    <t>Montáž nádoby expanzní tlakové 8 l</t>
  </si>
  <si>
    <t>732339500VD</t>
  </si>
  <si>
    <t>Tlaková expanzní nádoba s membránou, objem 8 litrů, max. provoz. tlak: 10 bar</t>
  </si>
  <si>
    <t>732339501VD</t>
  </si>
  <si>
    <t>Nástěnný držák s upínacím pásem pro expanzní nádobu 8-25 l</t>
  </si>
  <si>
    <t>55110020VD</t>
  </si>
  <si>
    <t>Uzavírací armatura se zajištěním a vypouštěním pro expanzi G 3/4"</t>
  </si>
  <si>
    <t>722223181R00</t>
  </si>
  <si>
    <t>Kohout vodovodní, kulový, výtokový, DN 15 mm</t>
  </si>
  <si>
    <t>734391114R00</t>
  </si>
  <si>
    <t>Kondenzační smyčky ČSN 13 7531.1- zahnuté</t>
  </si>
  <si>
    <t>734424911VD</t>
  </si>
  <si>
    <t>Manometrický kohout niklovaný G 1/2"</t>
  </si>
  <si>
    <t>734411153VD</t>
  </si>
  <si>
    <t>Manometr D63 spodní připojení 0-10 bar včetně zpětné klapky</t>
  </si>
  <si>
    <t>998722201R00</t>
  </si>
  <si>
    <t>Přesun hmot pro vnitřní vodovod, výšky do 6 m</t>
  </si>
  <si>
    <t>725</t>
  </si>
  <si>
    <t>Zařizovací předměty</t>
  </si>
  <si>
    <t>725119306R00</t>
  </si>
  <si>
    <t>Montáž klozetu závěsného</t>
  </si>
  <si>
    <t>725119401R00</t>
  </si>
  <si>
    <t>Montáž předstěnových systémů pro zazdění</t>
  </si>
  <si>
    <t>725119402R00</t>
  </si>
  <si>
    <t>Montáž předstěnových systémů</t>
  </si>
  <si>
    <t>725119501T00VD</t>
  </si>
  <si>
    <t>Montáž tlakového mechanického splachovače</t>
  </si>
  <si>
    <t>725219401R00</t>
  </si>
  <si>
    <t>Montáž umyvadel na šrouby do zdiva</t>
  </si>
  <si>
    <t>725334301R00</t>
  </si>
  <si>
    <t>Nálevka se sifonem PP HL21, DN 32</t>
  </si>
  <si>
    <t>725299101R00</t>
  </si>
  <si>
    <t>Montáž koupelnových doplňků - mýdelníků, držáků ap</t>
  </si>
  <si>
    <t>725534228R00</t>
  </si>
  <si>
    <t>Ohřívač elek. zásob. závěsný, objem 200 litrů, příkon 2/4 kW, pr. 584 mm, výška 1300 mm</t>
  </si>
  <si>
    <t>725819201R00</t>
  </si>
  <si>
    <t>Montáž ventilu nástěnného  G 1/2</t>
  </si>
  <si>
    <t>725819401R00</t>
  </si>
  <si>
    <t>Montáž ventilu rohového s trubičkou G 1/2</t>
  </si>
  <si>
    <t>725829202R00</t>
  </si>
  <si>
    <t>Montáž baterie umyv.a dřezové nástěnné</t>
  </si>
  <si>
    <t>725829301R00</t>
  </si>
  <si>
    <t>Montáž baterie umyv.a dřezové stojánkové</t>
  </si>
  <si>
    <t>725849202R00</t>
  </si>
  <si>
    <t>Montáž baterií sprchových termostatických</t>
  </si>
  <si>
    <t>725849302R00</t>
  </si>
  <si>
    <t>Montáž držáku sprchy</t>
  </si>
  <si>
    <t>725859101R00</t>
  </si>
  <si>
    <t>Montáž ventilu odpadního do D 32 mm</t>
  </si>
  <si>
    <t>725869101R00</t>
  </si>
  <si>
    <t>Montáž uzávěrek zápach.umyvadlových D 32</t>
  </si>
  <si>
    <t>725850145R00</t>
  </si>
  <si>
    <t>Sifon kondenzační, DN 40, vodorovný odtok,přídavná mechanická uzávěrka, čistící vložka</t>
  </si>
  <si>
    <t>725989101R00</t>
  </si>
  <si>
    <t>Montáž dvířek kovových i z PH</t>
  </si>
  <si>
    <t>725980122R00</t>
  </si>
  <si>
    <t>Dvířka z plastu, 150 x 200 mm "čistící kus"</t>
  </si>
  <si>
    <t>553476560</t>
  </si>
  <si>
    <t>Dvířka revizní do zdiva 200 x 200 mm</t>
  </si>
  <si>
    <t>55144209VD</t>
  </si>
  <si>
    <t>55144211VD</t>
  </si>
  <si>
    <t>Rohový ventil se zpětnou klapkou 1/2" x 3/4"</t>
  </si>
  <si>
    <t>55141228VD</t>
  </si>
  <si>
    <t>Umyvadlový sifon designový, chrom, kulatý, průměr odpadu DN 32, vtok 5/4"</t>
  </si>
  <si>
    <t>55141229VD</t>
  </si>
  <si>
    <t>Umyvadlová výpusť s rotační zátkou antivandal 5/4"-75 mm</t>
  </si>
  <si>
    <t>64214215VD</t>
  </si>
  <si>
    <t>Umyvadlo klasické hranaté, 550 x 450 x 165 mm, otvor pro baterii uprostřed a přepadem</t>
  </si>
  <si>
    <t>725017153R00</t>
  </si>
  <si>
    <t>Umyvadlo invalidní  64 x 55 cm, bílé</t>
  </si>
  <si>
    <t>64214205VD</t>
  </si>
  <si>
    <t>Zvukoizolační podložka umyvadlová mezi obklad a stěnu</t>
  </si>
  <si>
    <t>64214218VD</t>
  </si>
  <si>
    <t>Instalační sada pro umyvadlo</t>
  </si>
  <si>
    <t>55144230VD</t>
  </si>
  <si>
    <t>Podomítkový umyvadlový sifon pro zdravotní umyvadlo</t>
  </si>
  <si>
    <t>55144213VD</t>
  </si>
  <si>
    <t>55141150VD</t>
  </si>
  <si>
    <t>Samouzavírací umyvadlová baterie, chrom, výtok 8 cm, průtok 5 l/min, antivandal</t>
  </si>
  <si>
    <t>55141160VD</t>
  </si>
  <si>
    <t>Umyvadlová baterie pro tělesně postižené s otáčecí hubicí bez výpusti, výška 110 mm</t>
  </si>
  <si>
    <t>55141176VD</t>
  </si>
  <si>
    <t>Sprchová termostatická baterie pro těl. postižené, 1/2" x 150 mm, chrom</t>
  </si>
  <si>
    <t>55141177VD</t>
  </si>
  <si>
    <t>Sprchová sada, ruční sprcha DN 15, hadice dl. 1250 mm, nástěnný držák, chrom</t>
  </si>
  <si>
    <t>55141169VD</t>
  </si>
  <si>
    <t>Sprchová sada, ruční sprcha 1S+ hadice 1250 mm, držák, chrom</t>
  </si>
  <si>
    <t>64238810VD</t>
  </si>
  <si>
    <t>Klozet závěsný keram., hluboké splachování, hl.52 cm, š.36 cm, v.35 cm, oplach. kruh</t>
  </si>
  <si>
    <t>64238817VD</t>
  </si>
  <si>
    <t>Duroplastové sedátko s poklopem, nerez úchyty, odnímatelné, bílé</t>
  </si>
  <si>
    <t>64250931VD</t>
  </si>
  <si>
    <t>Vyrovnávací sada</t>
  </si>
  <si>
    <t>64250912VD</t>
  </si>
  <si>
    <t>Podomítkový modul pro závěsné WC, montáž na zeď,v.771mm, š.450 mm, s obezděním</t>
  </si>
  <si>
    <t>64250913VD</t>
  </si>
  <si>
    <t>Podomítkový modul pro závěsné WC se samonosným ocelovým rámem v = 1120 mm, š = 500 mm</t>
  </si>
  <si>
    <t>64238818VD</t>
  </si>
  <si>
    <t>64250914VD</t>
  </si>
  <si>
    <t>Rovné odpadní připojení k WC modulu</t>
  </si>
  <si>
    <t>64250920VD</t>
  </si>
  <si>
    <t>Prodlužovací přívodní trubka pro připojení WC</t>
  </si>
  <si>
    <t>Celkem:</t>
  </si>
  <si>
    <t>VMS Projekt s.r.o.</t>
  </si>
  <si>
    <t>725122232VD</t>
  </si>
  <si>
    <t>Montáž pisoáru</t>
  </si>
  <si>
    <t>725900951VD</t>
  </si>
  <si>
    <t>Montáž invalidních zrcadel</t>
  </si>
  <si>
    <t>Rohový ventil k baterii 1/2" x 3/8" s nerez sítkem (dřez, umyvadla)</t>
  </si>
  <si>
    <t>Baterie nástěnná vanová 1/2" x 150 mm s výtokovým raménkem dl. 350 mm</t>
  </si>
  <si>
    <t>64238850VD</t>
  </si>
  <si>
    <t>Závěsný klozet invalidní prodloužené 365 x 360 x 700 mm, včetně sedátka s poklopem</t>
  </si>
  <si>
    <t>64238819VD</t>
  </si>
  <si>
    <t>Pneumatický set pro podomítkový modul</t>
  </si>
  <si>
    <t>64238820VD</t>
  </si>
  <si>
    <t>Duroplastové sedátko pro WC bez bariér, bez poklopu, ocelové úchyty</t>
  </si>
  <si>
    <t>725291114R00</t>
  </si>
  <si>
    <t>Madlo pevné univerzální dl. 600 mm, bílé</t>
  </si>
  <si>
    <t>725291113R00</t>
  </si>
  <si>
    <t>Madlo pevné dl. 550 mm, bílé</t>
  </si>
  <si>
    <t>725291117R00</t>
  </si>
  <si>
    <t>Madlo sklopné dl. 800 mm s držákem toaletního papíru, bílé</t>
  </si>
  <si>
    <t>55144102VD</t>
  </si>
  <si>
    <t>Madlo do sprchy 750 x 450 mm, bílé</t>
  </si>
  <si>
    <t>55144103VD</t>
  </si>
  <si>
    <t>Sedačka do sprchy, závěsná, sklopná, sedák plast (nosnost max. 120 kg)</t>
  </si>
  <si>
    <t>55144104VD</t>
  </si>
  <si>
    <t>Zrcadlo 60 x 45 cm s páčkou nastavitelné, nerez</t>
  </si>
  <si>
    <t>725019103R00</t>
  </si>
  <si>
    <t>64270871VD</t>
  </si>
  <si>
    <t>Podomítkový modul pro závěsnou výlevku sa samonos. ocel. rámem v=1460 mm, š=525 mm</t>
  </si>
  <si>
    <t>64271104VD</t>
  </si>
  <si>
    <t>Instalační sada pro montáž výlevky s chromovými úchyty</t>
  </si>
  <si>
    <t>64250918VD</t>
  </si>
  <si>
    <t>Ovládací tlačítko, dvoučinné, mechanické, pro podomít. modul rozměr 247x165 mm, bílé</t>
  </si>
  <si>
    <t>64250919VD</t>
  </si>
  <si>
    <t>Ovládací tlačítko, dvoučinné, mechanické, pro podomít. modul rozměr 247x165 mm, chrom mat</t>
  </si>
  <si>
    <t>64290880VD</t>
  </si>
  <si>
    <t>Odsávací urinál Antivandal s radarovým senzorem, síťové napájení 24 V, vnitřní přívod vody včetně sifonu a nerez sítka</t>
  </si>
  <si>
    <t>64290881VD</t>
  </si>
  <si>
    <t>Dálkové ovládání k radarovým pisoárům (splachovačům)</t>
  </si>
  <si>
    <t>64290890VD</t>
  </si>
  <si>
    <t>Napájecí zdroj pro max.1 urinál, 24 V/DC</t>
  </si>
  <si>
    <t>642509235VD</t>
  </si>
  <si>
    <t>Sítko pro urinál</t>
  </si>
  <si>
    <t>64290883VD</t>
  </si>
  <si>
    <t>Urinálová dělící stěna včetně montážního příslušenství</t>
  </si>
  <si>
    <t>55120030VD</t>
  </si>
  <si>
    <t>Nerezový podomítkový box pro vestavbu do zdi s nezámrznou armaturou G1/2", EI zásuvka , rozměr 284x245x120 mm</t>
  </si>
  <si>
    <t>998725201R00</t>
  </si>
  <si>
    <t>Přesun hmot pro zařizovací předměty, výšky do 6 m</t>
  </si>
  <si>
    <t>PROJEKČNÍ POLOŽKOVÝ ROZPOČET</t>
  </si>
  <si>
    <t xml:space="preserve">Akce: </t>
  </si>
  <si>
    <t>Koupaliště Polanka</t>
  </si>
  <si>
    <t>Datum:</t>
  </si>
  <si>
    <t>Objekt:</t>
  </si>
  <si>
    <t>POOL Bar SO 12</t>
  </si>
  <si>
    <t>Část:</t>
  </si>
  <si>
    <t>D.1.4.   Elektroinstalace</t>
  </si>
  <si>
    <t>Cena celkem:</t>
  </si>
  <si>
    <t>Pol.č.</t>
  </si>
  <si>
    <t>Odd.</t>
  </si>
  <si>
    <t>DODÁVKA
j.cena (CZK)</t>
  </si>
  <si>
    <t>DODÁVKA 
cena celkem (CZK)</t>
  </si>
  <si>
    <t>MONTÁŽ 
j. cena (CZK)</t>
  </si>
  <si>
    <t>MONTÁŽ 
cena celkem (CZK)</t>
  </si>
  <si>
    <t>CENA CELKEM
(CZK)</t>
  </si>
  <si>
    <t>Oddíl 1:</t>
  </si>
  <si>
    <t xml:space="preserve">rozvaděče  </t>
  </si>
  <si>
    <t>x</t>
  </si>
  <si>
    <t>celkem:</t>
  </si>
  <si>
    <t>Rv Elektro R2 230/400V IP40/20 oceloplechový přisazený (dle projektové dokumentace)</t>
  </si>
  <si>
    <t>Oddíl 2:</t>
  </si>
  <si>
    <t>kabelové trasy (kabely, nosné konstrukce a chráničky)</t>
  </si>
  <si>
    <t>kabel CYA 6 zel./žlutý vč. svorek ZS16</t>
  </si>
  <si>
    <t>bm</t>
  </si>
  <si>
    <t xml:space="preserve">kabel CYA 16 zel./žlutý </t>
  </si>
  <si>
    <t>kabel CYKY-J  3 x 1,5</t>
  </si>
  <si>
    <t>kabel CYKY-J  3 x 2,5</t>
  </si>
  <si>
    <t>kabel CYKY-J  5 x 1,5</t>
  </si>
  <si>
    <t>kabel CYKY-J  5 x 2,5</t>
  </si>
  <si>
    <t>kabel CYKY-J  5 x 6</t>
  </si>
  <si>
    <t>kabel JYTY 4 x 1</t>
  </si>
  <si>
    <t>Oddíl 3:</t>
  </si>
  <si>
    <t>přístroje elektro</t>
  </si>
  <si>
    <t>krabice pod ovladač PVC KU68/2</t>
  </si>
  <si>
    <t>vypínač č.1 IP 20 do krabice KU68 vč. krytky a rámečku</t>
  </si>
  <si>
    <t>zásuvka 230V, IP20 do krabice KU68 vč. rámečku</t>
  </si>
  <si>
    <t>detektor pohybu IP20 povrchová instalace, napájení 230V</t>
  </si>
  <si>
    <t>vypínač 400V 16A IP44</t>
  </si>
  <si>
    <t>ovladač pro rolety - dodávka technologie</t>
  </si>
  <si>
    <t>svorkovnice ekvipotenciální EKV 16</t>
  </si>
  <si>
    <t xml:space="preserve">regulátor otáčet pro ventilátory </t>
  </si>
  <si>
    <t>Oddíl 4:</t>
  </si>
  <si>
    <t>svítidla</t>
  </si>
  <si>
    <t>svítidlo A - stropní montáž LED 15W 150 IP40</t>
  </si>
  <si>
    <t>svítidlo AN - stropní montáž LED 15W 150 IP44</t>
  </si>
  <si>
    <t>svítidlo C - stropní montáž LED 24W 330 IP54</t>
  </si>
  <si>
    <t>svítidllo F - reflektorové LED 50W IP65</t>
  </si>
  <si>
    <t xml:space="preserve">svítidlo GN - lřisazené liniové LED 44W vč. zdroje </t>
  </si>
  <si>
    <t>Oddíl 5:</t>
  </si>
  <si>
    <t>hromosvody, zemnící práce</t>
  </si>
  <si>
    <t>drát FeZn 10 vč. svorek</t>
  </si>
  <si>
    <t>pásek FeZn 30/4 vč. svorek a ošetření</t>
  </si>
  <si>
    <t>svorka SP1</t>
  </si>
  <si>
    <t>zemnící práce - hl.100cm, 50cm (výkop,pískové lože, zához, folie)</t>
  </si>
  <si>
    <t>Oddíl 6:</t>
  </si>
  <si>
    <t>Oddíl 7:</t>
  </si>
  <si>
    <t>ostatní náklady</t>
  </si>
  <si>
    <t>koordinace na stavbě</t>
  </si>
  <si>
    <t>montážní materiál</t>
  </si>
  <si>
    <t>ostatní neuvedené položky k řádnému dokončení díla</t>
  </si>
  <si>
    <t>projektová dokumentace - dodavatelská + skutečného provedení</t>
  </si>
  <si>
    <t>revize elektro, ostatní dokumentace pro předání stavby</t>
  </si>
  <si>
    <t>vedlejší náklady (IČ, dopravy, lešení, likvidace atd.)</t>
  </si>
  <si>
    <t>0,595*8,85*15,45</t>
  </si>
  <si>
    <t>Hloubení nezapaž. jam hor.3 do 100 m3, STROJNĚ</t>
  </si>
  <si>
    <t>131201111R00</t>
  </si>
  <si>
    <t>Hloubení rýh š.do 60 cm v hor.3 do 50 m3, STROJNĚ</t>
  </si>
  <si>
    <t>132201110R00</t>
  </si>
  <si>
    <t>0,68*0,5*(15,35+7,5)*2</t>
  </si>
  <si>
    <t>Beton podkladní pod základové konstrukce, prostý C12/15-X0</t>
  </si>
  <si>
    <t>8,85*15,45*0,22</t>
  </si>
  <si>
    <t>(8,85+15,45)*2*0,22</t>
  </si>
  <si>
    <t>Odkaz na mn. položky pořadí 13 : 10,692</t>
  </si>
  <si>
    <t>1*1</t>
  </si>
  <si>
    <t>pdl/02</t>
  </si>
  <si>
    <t>1*1*0,15</t>
  </si>
  <si>
    <t>30,23115*110/1000</t>
  </si>
  <si>
    <t>311112315RT4</t>
  </si>
  <si>
    <t>Stěna z tvárnic ztraceného bednění, tl. 150 mm včetně zalití betonem</t>
  </si>
  <si>
    <t>311112315RT3</t>
  </si>
  <si>
    <t>Stěna z tvárnic ztraceného bednění, tl. 100 mm včetně zalití betonem</t>
  </si>
  <si>
    <t>32.1</t>
  </si>
  <si>
    <t>32.2</t>
  </si>
  <si>
    <t>sv. stěna šachty</t>
  </si>
  <si>
    <t>1,88*1,1</t>
  </si>
  <si>
    <t>Pás modif. asfalt samolep kód spec.stand. 505</t>
  </si>
  <si>
    <t>763612221RW6</t>
  </si>
  <si>
    <t>Montáž obložení stěn z dřevoštěpkových desek tl. nad 18 mm, na sraz, sponkováním vč. dodávky desky OSB 3 tl. 22 mm</t>
  </si>
  <si>
    <t>Tesařské konstrukce</t>
  </si>
  <si>
    <t>RTS 23/ II</t>
  </si>
  <si>
    <t>vlastní</t>
  </si>
  <si>
    <t>Z/01 Poklop pro zadláždění šachty vodovodu</t>
  </si>
  <si>
    <t>Z/02 přenosný hasicí přístroj</t>
  </si>
  <si>
    <t>Z/03 sestava venkovních rolet</t>
  </si>
  <si>
    <t>Z/04 venkovní roleta</t>
  </si>
  <si>
    <t>Z/05 revizní dvířka ve fasádě</t>
  </si>
  <si>
    <t>Z/06 jeklový sloupek</t>
  </si>
  <si>
    <t>Z/07 barová deska</t>
  </si>
  <si>
    <t>Z/08 barová deska</t>
  </si>
  <si>
    <t>Z/09 revizní dvířka pro přístup k čistícím kusům</t>
  </si>
  <si>
    <t>Z/10 závěsný držák žebříku</t>
  </si>
  <si>
    <t>Z/11 revizní dvířka pro přístup ke kulovým ventilům</t>
  </si>
  <si>
    <t>Odkaz na hmot. položky pořadí 83 : 2,03</t>
  </si>
  <si>
    <t>Dveře 5-ti komorový rám vyplněný plastovou sendvičou výplní s vypěněným jádrem tl.34mm 1100/2600mm O/01,02,04,06</t>
  </si>
  <si>
    <t>766.1</t>
  </si>
  <si>
    <t>Dveře 5-ti komorový rám vyplněný plastovou sendvičou výplní s vypěněným jádrem tl.34mm 1100/2100mm O/03,05</t>
  </si>
  <si>
    <t>Dveře vnitřní + zárubeň D/01</t>
  </si>
  <si>
    <t>317121043RT1</t>
  </si>
  <si>
    <t>317121044RT1</t>
  </si>
  <si>
    <t>Překlad nosný pórobetonový, světlost otvoru do 1050 mm překlad nosný NOP 250-1250, 125 x 24,9 x 25 cm P/01</t>
  </si>
  <si>
    <t>Překlad nosný pórobetonový, světlost otvoru do 1800 mm překlad nosný NOP 250-1500, 149 x 24,9 x 25 cm P/02</t>
  </si>
  <si>
    <t>(1+1)*2*0,47*2</t>
  </si>
  <si>
    <t>Odkaz na hmot. položky pořadí 63 : 0,05</t>
  </si>
  <si>
    <t>Nátěr tesařských konstrukcí  2x</t>
  </si>
  <si>
    <t>fungicidní a insekticidní vodou ředitelný koncentrát pro dlouhodobou preventivní ochranu dřeva v interiérech i exteriérech proti plísním, dřevokazným houbám a dřevokaznému hmyzu.</t>
  </si>
  <si>
    <t>Podlahová vpusť s velkým průtokem 0,8 l/s, zápachovou uzávěrkou  DN 50/75/110, nerezová mřížka 138/138 mm</t>
  </si>
  <si>
    <t>Výlevka závěsná s plastovou mřížkou</t>
  </si>
  <si>
    <t>ventilátor VZT - dodávka VZT (ocenit pouze montáž)</t>
  </si>
  <si>
    <t>el. boiler 230V - dodávka ZTI (ocenit pouze montáž)</t>
  </si>
  <si>
    <t>žaluzie(roleta) - motor - dodávka technologie (ocenit pouze montáž)</t>
  </si>
  <si>
    <t>Spirálně vinuté VZT potrubí, provedení těsné, vč. tvarovek (DN 125 - 1,5 m, DN 160 - 8,5 m)</t>
  </si>
  <si>
    <t>1.01</t>
  </si>
  <si>
    <t>1.02</t>
  </si>
  <si>
    <t>1.03</t>
  </si>
  <si>
    <t>1.04</t>
  </si>
  <si>
    <t>1.11</t>
  </si>
  <si>
    <t>2.01</t>
  </si>
  <si>
    <t>2.02</t>
  </si>
  <si>
    <t>2.03</t>
  </si>
  <si>
    <t>2.04</t>
  </si>
  <si>
    <t>2.05</t>
  </si>
  <si>
    <t>2.06</t>
  </si>
  <si>
    <t>2.07</t>
  </si>
  <si>
    <t>2.08</t>
  </si>
  <si>
    <t>2.11</t>
  </si>
  <si>
    <t>Hliníkový držák pro IP dome kameru 155×183.5×240mm - montáž na zeď</t>
  </si>
  <si>
    <t>Držák s nerezové oceli pro IP dome kameru 250×127×46mm - montáž na sloup</t>
  </si>
  <si>
    <t>Ohebná dvouplášťová korugovaná bezhalogenová chránička červená průměr 40mm</t>
  </si>
  <si>
    <t>Bezhalogenový nízkofrekvenční sdělovací kabel s Al stíněním s malým množstvím uvolněného tepla v případě požáru 3x2x0,8</t>
  </si>
  <si>
    <t>Bezhalogenový nízkofrekvenční sdělovací kabel s Al stíněním s malým množstvím uvolněného tepla v případě požáru 5x2x0,8</t>
  </si>
  <si>
    <t>Skříňkový hudební reproduktor, dvoupásmový, 30W, černý  včetně uchycení na fasádu</t>
  </si>
  <si>
    <t>Krabicová rozvodnice 5P IP67 plastová šedá (krabice KUL 68-45/LD univerzální včetně víka)</t>
  </si>
  <si>
    <t xml:space="preserve">chránička dvouplášťová do země 25 </t>
  </si>
  <si>
    <t>ostatní technologie - zapojení (pouze montáž)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</si>
  <si>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</si>
  <si>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</si>
  <si>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</si>
  <si>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 xml:space="preserve">Pokud jsou v seznamu uvedeny konkrétní výrobky, slouží pro popis požadovaného standardu a nezakládají povinnost dodavatele tyto výrobky použít. </t>
  </si>
  <si>
    <t>System  pro upevnění opěrných madel na rámový modul</t>
  </si>
  <si>
    <t>Pokud je v soupisu prací odkaz na normy nebo technické dokumenty umožňuje zadavatel nabídnout rovnocenné řešení dle §89 a §90 zákona 134/2016sb. Zákon o zadávání veřejných zakázek</t>
  </si>
  <si>
    <t>modul RJ45 stíněný, Cat.6, samozářezový, SFA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</si>
</sst>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00"/>
    <numFmt numFmtId="166" formatCode="#,##0.000"/>
    <numFmt numFmtId="167" formatCode="0.000"/>
  </numFmts>
  <fonts count="5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name val="Arial CE"/>
      <family val="2"/>
      <charset val="238"/>
    </font>
    <font>
      <b/>
      <u/>
      <sz val="10"/>
      <name val="Arial"/>
      <family val="2"/>
      <charset val="238"/>
    </font>
    <font>
      <sz val="10"/>
      <name val="Calibri"/>
      <family val="2"/>
      <charset val="238"/>
    </font>
    <font>
      <sz val="8"/>
      <color indexed="10"/>
      <name val="Arial CE"/>
      <family val="2"/>
      <charset val="238"/>
    </font>
    <font>
      <sz val="10"/>
      <name val="Arial"/>
      <family val="2"/>
      <charset val="1"/>
    </font>
    <font>
      <sz val="7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Tahoma"/>
      <family val="2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1"/>
      <name val="Calibri"/>
      <family val="2"/>
      <charset val="238"/>
    </font>
    <font>
      <b/>
      <sz val="16"/>
      <name val="Arial CE"/>
      <family val="2"/>
      <charset val="238"/>
    </font>
    <font>
      <b/>
      <sz val="10"/>
      <color theme="0"/>
      <name val="Arial CE"/>
      <family val="2"/>
      <charset val="238"/>
    </font>
    <font>
      <sz val="8"/>
      <color theme="0" tint="-0.499984740745262"/>
      <name val="Arial CE"/>
      <family val="2"/>
      <charset val="238"/>
    </font>
    <font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9"/>
      <color theme="0" tint="-0.499984740745262"/>
      <name val="Arial CE"/>
      <family val="2"/>
      <charset val="238"/>
    </font>
    <font>
      <sz val="11"/>
      <color indexed="16"/>
      <name val="Calibri"/>
      <family val="2"/>
      <charset val="238"/>
    </font>
    <font>
      <b/>
      <i/>
      <sz val="12"/>
      <color rgb="FFC00000"/>
      <name val="Arial CE"/>
      <family val="2"/>
      <charset val="238"/>
    </font>
    <font>
      <i/>
      <sz val="9"/>
      <color rgb="FFC00000"/>
      <name val="Arial CE"/>
      <family val="2"/>
      <charset val="238"/>
    </font>
    <font>
      <b/>
      <i/>
      <sz val="11"/>
      <color rgb="FFC00000"/>
      <name val="Arial CE"/>
      <family val="2"/>
      <charset val="238"/>
    </font>
    <font>
      <i/>
      <sz val="11"/>
      <color rgb="FFC00000"/>
      <name val="Arial CE"/>
      <family val="2"/>
      <charset val="238"/>
    </font>
    <font>
      <b/>
      <sz val="11"/>
      <color rgb="FFC00000"/>
      <name val="Arial CE"/>
      <family val="2"/>
      <charset val="238"/>
    </font>
    <font>
      <b/>
      <sz val="8"/>
      <color rgb="FFC00000"/>
      <name val="Arial CE"/>
      <family val="2"/>
      <charset val="238"/>
    </font>
    <font>
      <sz val="11"/>
      <color rgb="FFC00000"/>
      <name val="Arial CE"/>
      <family val="2"/>
      <charset val="238"/>
    </font>
    <font>
      <b/>
      <sz val="12"/>
      <color rgb="FFC00000"/>
      <name val="Arial CE"/>
      <family val="2"/>
      <charset val="238"/>
    </font>
    <font>
      <i/>
      <sz val="12"/>
      <color rgb="FFC00000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sz val="9"/>
      <color rgb="FFCCFFFF"/>
      <name val="Arial CE"/>
      <family val="2"/>
      <charset val="238"/>
    </font>
    <font>
      <sz val="8"/>
      <color theme="0"/>
      <name val="Arial CE"/>
      <family val="2"/>
      <charset val="238"/>
    </font>
    <font>
      <sz val="8"/>
      <color theme="0" tint="-0.249977111117893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color theme="0" tint="-0.249977111117893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Calibri"/>
      <family val="2"/>
      <charset val="238"/>
    </font>
    <font>
      <strike/>
      <sz val="10"/>
      <name val="Arial CE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theme="0" tint="-0.34998626667073579"/>
      </bottom>
      <diagonal/>
    </border>
    <border>
      <left style="medium">
        <color auto="1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auto="1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auto="1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auto="1"/>
      </left>
      <right style="hair">
        <color theme="0" tint="-0.34998626667073579"/>
      </right>
      <top style="hair">
        <color theme="0" tint="-0.34998626667073579"/>
      </top>
      <bottom style="medium">
        <color auto="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hair">
        <color theme="0" tint="-0.34998626667073579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3">
    <xf numFmtId="0" fontId="0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38" fillId="1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</cellStyleXfs>
  <cellXfs count="59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8" fillId="0" borderId="0" xfId="0" quotePrefix="1" applyNumberFormat="1" applyFont="1" applyAlignment="1">
      <alignment horizontal="left" vertical="top" wrapText="1"/>
    </xf>
    <xf numFmtId="0" fontId="0" fillId="0" borderId="0" xfId="0" applyAlignment="1">
      <alignment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166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4" fontId="16" fillId="3" borderId="45" xfId="0" applyNumberFormat="1" applyFont="1" applyFill="1" applyBorder="1" applyAlignment="1">
      <alignment vertical="top" shrinkToFit="1"/>
    </xf>
    <xf numFmtId="0" fontId="1" fillId="0" borderId="0" xfId="0" applyFont="1"/>
    <xf numFmtId="4" fontId="16" fillId="3" borderId="42" xfId="0" applyNumberFormat="1" applyFont="1" applyFill="1" applyBorder="1" applyAlignment="1">
      <alignment vertical="top" shrinkToFit="1"/>
    </xf>
    <xf numFmtId="0" fontId="29" fillId="0" borderId="0" xfId="3"/>
    <xf numFmtId="0" fontId="1" fillId="0" borderId="0" xfId="3" applyFont="1" applyProtection="1">
      <protection locked="0"/>
    </xf>
    <xf numFmtId="0" fontId="16" fillId="0" borderId="0" xfId="3" applyFont="1" applyAlignment="1" applyProtection="1">
      <alignment horizontal="left"/>
      <protection locked="0"/>
    </xf>
    <xf numFmtId="4" fontId="16" fillId="0" borderId="0" xfId="3" applyNumberFormat="1" applyFont="1" applyAlignment="1" applyProtection="1">
      <alignment horizontal="right"/>
      <protection locked="0"/>
    </xf>
    <xf numFmtId="165" fontId="16" fillId="0" borderId="0" xfId="3" applyNumberFormat="1" applyFont="1" applyAlignment="1" applyProtection="1">
      <alignment horizontal="right"/>
      <protection locked="0"/>
    </xf>
    <xf numFmtId="166" fontId="16" fillId="0" borderId="0" xfId="3" applyNumberFormat="1" applyFont="1" applyAlignment="1" applyProtection="1">
      <alignment horizontal="right"/>
      <protection locked="0"/>
    </xf>
    <xf numFmtId="0" fontId="27" fillId="0" borderId="0" xfId="3" applyFont="1" applyProtection="1">
      <protection locked="0"/>
    </xf>
    <xf numFmtId="0" fontId="16" fillId="0" borderId="0" xfId="3" applyFont="1" applyAlignment="1" applyProtection="1">
      <alignment horizontal="center"/>
      <protection locked="0"/>
    </xf>
    <xf numFmtId="0" fontId="29" fillId="0" borderId="0" xfId="3" applyAlignment="1">
      <alignment horizontal="center"/>
    </xf>
    <xf numFmtId="0" fontId="31" fillId="0" borderId="0" xfId="0" applyFont="1"/>
    <xf numFmtId="0" fontId="29" fillId="8" borderId="0" xfId="0" applyFont="1" applyFill="1" applyAlignment="1">
      <alignment horizontal="left" vertical="center"/>
    </xf>
    <xf numFmtId="0" fontId="26" fillId="9" borderId="59" xfId="0" applyFont="1" applyFill="1" applyBorder="1" applyAlignment="1">
      <alignment horizontal="left" vertical="center"/>
    </xf>
    <xf numFmtId="0" fontId="26" fillId="9" borderId="0" xfId="0" applyFont="1" applyFill="1" applyAlignment="1">
      <alignment horizontal="left" vertical="center"/>
    </xf>
    <xf numFmtId="0" fontId="26" fillId="9" borderId="0" xfId="0" applyFont="1" applyFill="1" applyAlignment="1">
      <alignment horizontal="right" vertical="center"/>
    </xf>
    <xf numFmtId="4" fontId="26" fillId="9" borderId="60" xfId="0" applyNumberFormat="1" applyFont="1" applyFill="1" applyBorder="1" applyAlignment="1">
      <alignment horizontal="right" vertical="center"/>
    </xf>
    <xf numFmtId="1" fontId="29" fillId="0" borderId="59" xfId="0" applyNumberFormat="1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4" fontId="29" fillId="0" borderId="0" xfId="0" applyNumberFormat="1" applyFont="1" applyAlignment="1">
      <alignment horizontal="right" vertical="center"/>
    </xf>
    <xf numFmtId="4" fontId="29" fillId="0" borderId="60" xfId="0" applyNumberFormat="1" applyFont="1" applyBorder="1" applyAlignment="1">
      <alignment horizontal="right" vertical="center"/>
    </xf>
    <xf numFmtId="4" fontId="29" fillId="0" borderId="0" xfId="0" applyNumberFormat="1" applyFont="1" applyAlignment="1">
      <alignment horizontal="left" vertical="center"/>
    </xf>
    <xf numFmtId="1" fontId="29" fillId="0" borderId="61" xfId="0" applyNumberFormat="1" applyFont="1" applyBorder="1" applyAlignment="1">
      <alignment horizontal="left" vertical="center"/>
    </xf>
    <xf numFmtId="0" fontId="29" fillId="0" borderId="62" xfId="0" applyFont="1" applyBorder="1" applyAlignment="1">
      <alignment horizontal="left" vertical="center"/>
    </xf>
    <xf numFmtId="4" fontId="29" fillId="0" borderId="63" xfId="0" applyNumberFormat="1" applyFont="1" applyBorder="1" applyAlignment="1">
      <alignment horizontal="right" vertical="center"/>
    </xf>
    <xf numFmtId="0" fontId="26" fillId="0" borderId="0" xfId="0" applyFont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26" fillId="0" borderId="73" xfId="0" applyFont="1" applyBorder="1" applyAlignment="1">
      <alignment horizontal="left" vertical="center"/>
    </xf>
    <xf numFmtId="0" fontId="26" fillId="0" borderId="73" xfId="0" applyFont="1" applyBorder="1" applyAlignment="1">
      <alignment horizontal="left" vertical="center" wrapText="1"/>
    </xf>
    <xf numFmtId="0" fontId="26" fillId="0" borderId="72" xfId="0" applyFont="1" applyBorder="1" applyAlignment="1">
      <alignment horizontal="left" vertical="center" wrapText="1"/>
    </xf>
    <xf numFmtId="0" fontId="0" fillId="0" borderId="74" xfId="0" applyBorder="1"/>
    <xf numFmtId="0" fontId="0" fillId="0" borderId="75" xfId="0" applyBorder="1"/>
    <xf numFmtId="0" fontId="0" fillId="0" borderId="76" xfId="0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/>
    <xf numFmtId="0" fontId="9" fillId="0" borderId="0" xfId="0" applyFont="1"/>
    <xf numFmtId="4" fontId="5" fillId="0" borderId="0" xfId="0" applyNumberFormat="1" applyFont="1"/>
    <xf numFmtId="0" fontId="0" fillId="0" borderId="77" xfId="0" applyBorder="1"/>
    <xf numFmtId="0" fontId="16" fillId="0" borderId="39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165" fontId="16" fillId="0" borderId="39" xfId="0" quotePrefix="1" applyNumberFormat="1" applyFont="1" applyBorder="1" applyAlignment="1">
      <alignment horizontal="left" vertical="top" wrapText="1"/>
    </xf>
    <xf numFmtId="165" fontId="16" fillId="0" borderId="39" xfId="0" applyNumberFormat="1" applyFont="1" applyBorder="1" applyAlignment="1">
      <alignment horizontal="center" vertical="top" wrapText="1" shrinkToFit="1"/>
    </xf>
    <xf numFmtId="165" fontId="16" fillId="0" borderId="39" xfId="0" applyNumberFormat="1" applyFont="1" applyBorder="1" applyAlignment="1">
      <alignment vertical="top" wrapText="1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79" xfId="0" applyFont="1" applyBorder="1" applyAlignment="1">
      <alignment vertical="top"/>
    </xf>
    <xf numFmtId="49" fontId="16" fillId="0" borderId="79" xfId="0" applyNumberFormat="1" applyFont="1" applyBorder="1" applyAlignment="1">
      <alignment vertical="top"/>
    </xf>
    <xf numFmtId="165" fontId="16" fillId="0" borderId="79" xfId="0" quotePrefix="1" applyNumberFormat="1" applyFont="1" applyBorder="1" applyAlignment="1">
      <alignment horizontal="left" vertical="top" wrapText="1"/>
    </xf>
    <xf numFmtId="165" fontId="16" fillId="0" borderId="79" xfId="0" applyNumberFormat="1" applyFont="1" applyBorder="1" applyAlignment="1">
      <alignment horizontal="center" vertical="top" wrapText="1" shrinkToFit="1"/>
    </xf>
    <xf numFmtId="165" fontId="16" fillId="0" borderId="79" xfId="0" applyNumberFormat="1" applyFont="1" applyBorder="1" applyAlignment="1">
      <alignment vertical="top" wrapText="1" shrinkToFit="1"/>
    </xf>
    <xf numFmtId="166" fontId="16" fillId="0" borderId="0" xfId="0" applyNumberFormat="1" applyFont="1" applyAlignment="1">
      <alignment vertical="top" shrinkToFit="1"/>
    </xf>
    <xf numFmtId="166" fontId="5" fillId="2" borderId="0" xfId="0" applyNumberFormat="1" applyFont="1" applyFill="1" applyAlignment="1">
      <alignment vertical="top" shrinkToFit="1"/>
    </xf>
    <xf numFmtId="166" fontId="0" fillId="0" borderId="0" xfId="0" applyNumberFormat="1" applyAlignment="1">
      <alignment vertical="top"/>
    </xf>
    <xf numFmtId="166" fontId="0" fillId="4" borderId="21" xfId="0" applyNumberFormat="1" applyFill="1" applyBorder="1" applyAlignment="1">
      <alignment wrapText="1"/>
    </xf>
    <xf numFmtId="166" fontId="0" fillId="0" borderId="0" xfId="0" applyNumberFormat="1"/>
    <xf numFmtId="0" fontId="16" fillId="0" borderId="80" xfId="0" applyFont="1" applyBorder="1" applyAlignment="1">
      <alignment vertical="top"/>
    </xf>
    <xf numFmtId="49" fontId="16" fillId="0" borderId="81" xfId="0" applyNumberFormat="1" applyFont="1" applyBorder="1" applyAlignment="1">
      <alignment vertical="top"/>
    </xf>
    <xf numFmtId="0" fontId="16" fillId="0" borderId="81" xfId="0" applyFont="1" applyBorder="1" applyAlignment="1">
      <alignment horizontal="center" vertical="top" shrinkToFit="1"/>
    </xf>
    <xf numFmtId="165" fontId="16" fillId="0" borderId="81" xfId="0" applyNumberFormat="1" applyFont="1" applyBorder="1" applyAlignment="1">
      <alignment vertical="top" shrinkToFit="1"/>
    </xf>
    <xf numFmtId="4" fontId="16" fillId="3" borderId="81" xfId="0" applyNumberFormat="1" applyFont="1" applyFill="1" applyBorder="1" applyAlignment="1" applyProtection="1">
      <alignment vertical="top" shrinkToFit="1"/>
      <protection locked="0"/>
    </xf>
    <xf numFmtId="49" fontId="16" fillId="0" borderId="81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" fillId="0" borderId="0" xfId="11"/>
    <xf numFmtId="0" fontId="1" fillId="0" borderId="0" xfId="12"/>
    <xf numFmtId="0" fontId="1" fillId="0" borderId="0" xfId="12" applyAlignment="1">
      <alignment wrapText="1"/>
    </xf>
    <xf numFmtId="0" fontId="0" fillId="0" borderId="90" xfId="0" applyBorder="1"/>
    <xf numFmtId="0" fontId="0" fillId="0" borderId="91" xfId="0" applyBorder="1"/>
    <xf numFmtId="0" fontId="0" fillId="0" borderId="92" xfId="0" applyBorder="1"/>
    <xf numFmtId="4" fontId="0" fillId="0" borderId="75" xfId="0" applyNumberFormat="1" applyBorder="1"/>
    <xf numFmtId="4" fontId="0" fillId="0" borderId="0" xfId="0" applyNumberFormat="1" applyAlignment="1">
      <alignment horizontal="center"/>
    </xf>
    <xf numFmtId="4" fontId="28" fillId="0" borderId="0" xfId="0" applyNumberFormat="1" applyFont="1" applyAlignment="1">
      <alignment vertical="top"/>
    </xf>
    <xf numFmtId="4" fontId="0" fillId="0" borderId="77" xfId="0" applyNumberFormat="1" applyBorder="1"/>
    <xf numFmtId="4" fontId="5" fillId="0" borderId="77" xfId="0" applyNumberFormat="1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0" fillId="0" borderId="2" xfId="0" applyNumberFormat="1" applyBorder="1"/>
    <xf numFmtId="4" fontId="0" fillId="14" borderId="0" xfId="0" applyNumberFormat="1" applyFill="1" applyProtection="1">
      <protection locked="0"/>
    </xf>
    <xf numFmtId="4" fontId="28" fillId="14" borderId="0" xfId="0" applyNumberFormat="1" applyFont="1" applyFill="1" applyAlignment="1" applyProtection="1">
      <alignment vertical="top"/>
      <protection locked="0"/>
    </xf>
    <xf numFmtId="4" fontId="0" fillId="14" borderId="77" xfId="0" applyNumberFormat="1" applyFill="1" applyBorder="1" applyProtection="1">
      <protection locked="0"/>
    </xf>
    <xf numFmtId="0" fontId="1" fillId="0" borderId="47" xfId="3" applyFont="1" applyBorder="1" applyAlignment="1">
      <alignment horizontal="left"/>
    </xf>
    <xf numFmtId="0" fontId="1" fillId="0" borderId="48" xfId="3" applyFont="1" applyBorder="1" applyAlignment="1">
      <alignment horizontal="left"/>
    </xf>
    <xf numFmtId="0" fontId="1" fillId="0" borderId="48" xfId="3" applyFont="1" applyBorder="1" applyAlignment="1">
      <alignment horizontal="center"/>
    </xf>
    <xf numFmtId="4" fontId="1" fillId="0" borderId="48" xfId="3" applyNumberFormat="1" applyFont="1" applyBorder="1" applyAlignment="1">
      <alignment horizontal="right"/>
    </xf>
    <xf numFmtId="4" fontId="1" fillId="0" borderId="48" xfId="3" applyNumberFormat="1" applyFont="1" applyBorder="1"/>
    <xf numFmtId="165" fontId="1" fillId="0" borderId="48" xfId="3" applyNumberFormat="1" applyFont="1" applyBorder="1"/>
    <xf numFmtId="166" fontId="1" fillId="0" borderId="49" xfId="3" applyNumberFormat="1" applyFont="1" applyBorder="1" applyAlignment="1">
      <alignment horizontal="right"/>
    </xf>
    <xf numFmtId="0" fontId="1" fillId="0" borderId="50" xfId="3" applyFont="1" applyBorder="1" applyAlignment="1">
      <alignment horizontal="left"/>
    </xf>
    <xf numFmtId="0" fontId="1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0" fontId="1" fillId="0" borderId="0" xfId="3" applyFont="1" applyAlignment="1">
      <alignment horizontal="center"/>
    </xf>
    <xf numFmtId="4" fontId="1" fillId="0" borderId="0" xfId="3" applyNumberFormat="1" applyFont="1" applyAlignment="1">
      <alignment horizontal="right"/>
    </xf>
    <xf numFmtId="4" fontId="1" fillId="0" borderId="0" xfId="3" applyNumberFormat="1" applyFont="1"/>
    <xf numFmtId="165" fontId="1" fillId="0" borderId="0" xfId="3" applyNumberFormat="1" applyFont="1"/>
    <xf numFmtId="166" fontId="1" fillId="0" borderId="51" xfId="3" applyNumberFormat="1" applyFont="1" applyBorder="1" applyAlignment="1">
      <alignment horizontal="right"/>
    </xf>
    <xf numFmtId="0" fontId="2" fillId="0" borderId="0" xfId="3" applyFont="1" applyAlignment="1">
      <alignment horizontal="center"/>
    </xf>
    <xf numFmtId="0" fontId="2" fillId="0" borderId="0" xfId="3" applyFont="1" applyAlignment="1">
      <alignment horizontal="left"/>
    </xf>
    <xf numFmtId="0" fontId="5" fillId="0" borderId="0" xfId="3" applyFont="1" applyAlignment="1">
      <alignment horizontal="center"/>
    </xf>
    <xf numFmtId="4" fontId="5" fillId="0" borderId="0" xfId="3" applyNumberFormat="1" applyFont="1"/>
    <xf numFmtId="4" fontId="20" fillId="0" borderId="0" xfId="3" applyNumberFormat="1" applyFont="1" applyAlignment="1">
      <alignment horizontal="right"/>
    </xf>
    <xf numFmtId="49" fontId="1" fillId="0" borderId="0" xfId="3" applyNumberFormat="1" applyFont="1" applyAlignment="1">
      <alignment horizontal="left"/>
    </xf>
    <xf numFmtId="4" fontId="5" fillId="0" borderId="0" xfId="3" applyNumberFormat="1" applyFont="1" applyAlignment="1">
      <alignment horizontal="right"/>
    </xf>
    <xf numFmtId="0" fontId="29" fillId="0" borderId="51" xfId="3" applyBorder="1"/>
    <xf numFmtId="0" fontId="1" fillId="0" borderId="52" xfId="3" applyFont="1" applyBorder="1" applyAlignment="1">
      <alignment horizontal="left"/>
    </xf>
    <xf numFmtId="0" fontId="29" fillId="0" borderId="53" xfId="3" applyBorder="1"/>
    <xf numFmtId="0" fontId="1" fillId="0" borderId="53" xfId="3" applyFont="1" applyBorder="1" applyAlignment="1">
      <alignment horizontal="left"/>
    </xf>
    <xf numFmtId="0" fontId="1" fillId="0" borderId="53" xfId="3" applyFont="1" applyBorder="1" applyAlignment="1">
      <alignment horizontal="center"/>
    </xf>
    <xf numFmtId="4" fontId="1" fillId="0" borderId="53" xfId="3" applyNumberFormat="1" applyFont="1" applyBorder="1" applyAlignment="1">
      <alignment horizontal="right"/>
    </xf>
    <xf numFmtId="4" fontId="1" fillId="0" borderId="53" xfId="3" applyNumberFormat="1" applyFont="1" applyBorder="1"/>
    <xf numFmtId="0" fontId="29" fillId="0" borderId="54" xfId="3" applyBorder="1"/>
    <xf numFmtId="0" fontId="16" fillId="5" borderId="55" xfId="3" applyFont="1" applyFill="1" applyBorder="1" applyAlignment="1">
      <alignment horizontal="left"/>
    </xf>
    <xf numFmtId="0" fontId="16" fillId="5" borderId="55" xfId="3" applyFont="1" applyFill="1" applyBorder="1" applyAlignment="1">
      <alignment horizontal="center"/>
    </xf>
    <xf numFmtId="4" fontId="16" fillId="5" borderId="55" xfId="3" applyNumberFormat="1" applyFont="1" applyFill="1" applyBorder="1" applyAlignment="1">
      <alignment horizontal="right"/>
    </xf>
    <xf numFmtId="165" fontId="16" fillId="5" borderId="55" xfId="3" applyNumberFormat="1" applyFont="1" applyFill="1" applyBorder="1" applyAlignment="1">
      <alignment horizontal="right"/>
    </xf>
    <xf numFmtId="166" fontId="16" fillId="5" borderId="55" xfId="3" applyNumberFormat="1" applyFont="1" applyFill="1" applyBorder="1" applyAlignment="1">
      <alignment horizontal="right"/>
    </xf>
    <xf numFmtId="0" fontId="1" fillId="0" borderId="56" xfId="3" applyFont="1" applyBorder="1" applyAlignment="1">
      <alignment horizontal="left"/>
    </xf>
    <xf numFmtId="0" fontId="4" fillId="0" borderId="56" xfId="3" applyFont="1" applyBorder="1" applyAlignment="1">
      <alignment horizontal="left"/>
    </xf>
    <xf numFmtId="0" fontId="1" fillId="0" borderId="56" xfId="3" applyFont="1" applyBorder="1" applyAlignment="1">
      <alignment horizontal="center"/>
    </xf>
    <xf numFmtId="4" fontId="1" fillId="0" borderId="56" xfId="3" applyNumberFormat="1" applyFont="1" applyBorder="1" applyAlignment="1">
      <alignment horizontal="right"/>
    </xf>
    <xf numFmtId="4" fontId="1" fillId="0" borderId="56" xfId="3" applyNumberFormat="1" applyFont="1" applyBorder="1"/>
    <xf numFmtId="166" fontId="1" fillId="0" borderId="56" xfId="3" applyNumberFormat="1" applyFont="1" applyBorder="1" applyAlignment="1">
      <alignment horizontal="right"/>
    </xf>
    <xf numFmtId="0" fontId="1" fillId="0" borderId="56" xfId="3" applyFont="1" applyBorder="1"/>
    <xf numFmtId="0" fontId="1" fillId="0" borderId="57" xfId="3" applyFont="1" applyBorder="1" applyAlignment="1">
      <alignment horizontal="left"/>
    </xf>
    <xf numFmtId="0" fontId="4" fillId="0" borderId="57" xfId="3" applyFont="1" applyBorder="1" applyAlignment="1">
      <alignment horizontal="left"/>
    </xf>
    <xf numFmtId="0" fontId="1" fillId="0" borderId="57" xfId="3" applyFont="1" applyBorder="1" applyAlignment="1">
      <alignment horizontal="center"/>
    </xf>
    <xf numFmtId="4" fontId="1" fillId="0" borderId="57" xfId="3" applyNumberFormat="1" applyFont="1" applyBorder="1" applyAlignment="1">
      <alignment horizontal="right"/>
    </xf>
    <xf numFmtId="4" fontId="1" fillId="0" borderId="57" xfId="3" applyNumberFormat="1" applyFont="1" applyBorder="1"/>
    <xf numFmtId="166" fontId="1" fillId="0" borderId="57" xfId="3" applyNumberFormat="1" applyFont="1" applyBorder="1" applyAlignment="1">
      <alignment horizontal="right"/>
    </xf>
    <xf numFmtId="0" fontId="1" fillId="0" borderId="57" xfId="3" applyFont="1" applyBorder="1"/>
    <xf numFmtId="0" fontId="16" fillId="0" borderId="57" xfId="3" applyFont="1" applyBorder="1" applyAlignment="1">
      <alignment horizontal="left"/>
    </xf>
    <xf numFmtId="0" fontId="21" fillId="0" borderId="57" xfId="3" applyFont="1" applyBorder="1"/>
    <xf numFmtId="0" fontId="29" fillId="0" borderId="57" xfId="3" applyBorder="1"/>
    <xf numFmtId="4" fontId="16" fillId="0" borderId="57" xfId="3" applyNumberFormat="1" applyFont="1" applyBorder="1" applyAlignment="1">
      <alignment horizontal="center"/>
    </xf>
    <xf numFmtId="4" fontId="16" fillId="0" borderId="57" xfId="3" applyNumberFormat="1" applyFont="1" applyBorder="1" applyAlignment="1">
      <alignment horizontal="right"/>
    </xf>
    <xf numFmtId="165" fontId="16" fillId="0" borderId="57" xfId="3" applyNumberFormat="1" applyFont="1" applyBorder="1" applyAlignment="1">
      <alignment horizontal="right"/>
    </xf>
    <xf numFmtId="49" fontId="1" fillId="0" borderId="57" xfId="8" applyNumberFormat="1" applyFont="1" applyBorder="1" applyAlignment="1">
      <alignment horizontal="left"/>
    </xf>
    <xf numFmtId="167" fontId="1" fillId="0" borderId="57" xfId="3" applyNumberFormat="1" applyFont="1" applyBorder="1"/>
    <xf numFmtId="0" fontId="1" fillId="0" borderId="58" xfId="8" applyFont="1" applyBorder="1" applyAlignment="1">
      <alignment horizontal="left"/>
    </xf>
    <xf numFmtId="0" fontId="1" fillId="0" borderId="58" xfId="3" applyFont="1" applyBorder="1" applyAlignment="1">
      <alignment horizontal="left"/>
    </xf>
    <xf numFmtId="0" fontId="29" fillId="0" borderId="58" xfId="3" applyBorder="1"/>
    <xf numFmtId="0" fontId="1" fillId="0" borderId="58" xfId="3" applyFont="1" applyBorder="1" applyAlignment="1">
      <alignment horizontal="center"/>
    </xf>
    <xf numFmtId="4" fontId="1" fillId="0" borderId="58" xfId="3" applyNumberFormat="1" applyFont="1" applyBorder="1" applyAlignment="1">
      <alignment horizontal="right"/>
    </xf>
    <xf numFmtId="4" fontId="1" fillId="0" borderId="58" xfId="3" applyNumberFormat="1" applyFont="1" applyBorder="1"/>
    <xf numFmtId="167" fontId="1" fillId="0" borderId="58" xfId="3" applyNumberFormat="1" applyFont="1" applyBorder="1"/>
    <xf numFmtId="166" fontId="1" fillId="0" borderId="58" xfId="3" applyNumberFormat="1" applyFont="1" applyBorder="1" applyAlignment="1">
      <alignment horizontal="right"/>
    </xf>
    <xf numFmtId="49" fontId="1" fillId="0" borderId="56" xfId="8" applyNumberFormat="1" applyFont="1" applyBorder="1" applyAlignment="1">
      <alignment horizontal="left"/>
    </xf>
    <xf numFmtId="0" fontId="29" fillId="0" borderId="56" xfId="3" applyBorder="1"/>
    <xf numFmtId="167" fontId="1" fillId="0" borderId="56" xfId="3" applyNumberFormat="1" applyFont="1" applyBorder="1"/>
    <xf numFmtId="0" fontId="29" fillId="0" borderId="57" xfId="8" applyBorder="1"/>
    <xf numFmtId="0" fontId="29" fillId="0" borderId="57" xfId="3" applyBorder="1" applyAlignment="1">
      <alignment wrapText="1"/>
    </xf>
    <xf numFmtId="0" fontId="16" fillId="0" borderId="57" xfId="8" applyFont="1" applyBorder="1" applyAlignment="1">
      <alignment horizontal="left"/>
    </xf>
    <xf numFmtId="0" fontId="16" fillId="0" borderId="57" xfId="3" applyFont="1" applyBorder="1" applyAlignment="1">
      <alignment horizontal="center"/>
    </xf>
    <xf numFmtId="167" fontId="16" fillId="0" borderId="57" xfId="3" applyNumberFormat="1" applyFont="1" applyBorder="1" applyAlignment="1">
      <alignment horizontal="right"/>
    </xf>
    <xf numFmtId="166" fontId="16" fillId="0" borderId="57" xfId="3" applyNumberFormat="1" applyFont="1" applyBorder="1" applyAlignment="1">
      <alignment horizontal="right"/>
    </xf>
    <xf numFmtId="0" fontId="16" fillId="0" borderId="58" xfId="8" applyFont="1" applyBorder="1" applyAlignment="1">
      <alignment horizontal="left"/>
    </xf>
    <xf numFmtId="0" fontId="16" fillId="0" borderId="58" xfId="3" applyFont="1" applyBorder="1" applyAlignment="1">
      <alignment horizontal="left"/>
    </xf>
    <xf numFmtId="0" fontId="16" fillId="0" borderId="58" xfId="3" applyFont="1" applyBorder="1" applyAlignment="1">
      <alignment horizontal="center"/>
    </xf>
    <xf numFmtId="4" fontId="16" fillId="0" borderId="58" xfId="3" applyNumberFormat="1" applyFont="1" applyBorder="1" applyAlignment="1">
      <alignment horizontal="right"/>
    </xf>
    <xf numFmtId="167" fontId="16" fillId="0" borderId="58" xfId="3" applyNumberFormat="1" applyFont="1" applyBorder="1" applyAlignment="1">
      <alignment horizontal="right"/>
    </xf>
    <xf numFmtId="166" fontId="16" fillId="0" borderId="58" xfId="3" applyNumberFormat="1" applyFont="1" applyBorder="1" applyAlignment="1">
      <alignment horizontal="right"/>
    </xf>
    <xf numFmtId="0" fontId="1" fillId="0" borderId="57" xfId="8" applyFont="1" applyBorder="1" applyAlignment="1">
      <alignment horizontal="left"/>
    </xf>
    <xf numFmtId="49" fontId="1" fillId="0" borderId="58" xfId="8" applyNumberFormat="1" applyFont="1" applyBorder="1" applyAlignment="1">
      <alignment horizontal="left"/>
    </xf>
    <xf numFmtId="0" fontId="1" fillId="0" borderId="57" xfId="7" applyFont="1" applyBorder="1" applyAlignment="1">
      <alignment horizontal="left"/>
    </xf>
    <xf numFmtId="0" fontId="1" fillId="0" borderId="57" xfId="7" applyFont="1" applyBorder="1"/>
    <xf numFmtId="0" fontId="1" fillId="0" borderId="58" xfId="7" applyFont="1" applyBorder="1"/>
    <xf numFmtId="0" fontId="16" fillId="6" borderId="56" xfId="3" applyFont="1" applyFill="1" applyBorder="1" applyAlignment="1">
      <alignment horizontal="left"/>
    </xf>
    <xf numFmtId="0" fontId="5" fillId="6" borderId="56" xfId="3" applyFont="1" applyFill="1" applyBorder="1" applyAlignment="1">
      <alignment horizontal="left"/>
    </xf>
    <xf numFmtId="4" fontId="16" fillId="6" borderId="56" xfId="3" applyNumberFormat="1" applyFont="1" applyFill="1" applyBorder="1" applyAlignment="1">
      <alignment horizontal="center"/>
    </xf>
    <xf numFmtId="4" fontId="16" fillId="6" borderId="56" xfId="3" applyNumberFormat="1" applyFont="1" applyFill="1" applyBorder="1" applyAlignment="1">
      <alignment horizontal="right"/>
    </xf>
    <xf numFmtId="4" fontId="5" fillId="6" borderId="56" xfId="3" applyNumberFormat="1" applyFont="1" applyFill="1" applyBorder="1" applyAlignment="1">
      <alignment horizontal="right"/>
    </xf>
    <xf numFmtId="165" fontId="1" fillId="6" borderId="56" xfId="3" applyNumberFormat="1" applyFont="1" applyFill="1" applyBorder="1"/>
    <xf numFmtId="0" fontId="5" fillId="0" borderId="57" xfId="3" applyFont="1" applyBorder="1" applyAlignment="1">
      <alignment horizontal="left"/>
    </xf>
    <xf numFmtId="4" fontId="5" fillId="0" borderId="57" xfId="3" applyNumberFormat="1" applyFont="1" applyBorder="1" applyAlignment="1">
      <alignment horizontal="right"/>
    </xf>
    <xf numFmtId="165" fontId="1" fillId="0" borderId="57" xfId="3" applyNumberFormat="1" applyFont="1" applyBorder="1"/>
    <xf numFmtId="165" fontId="23" fillId="0" borderId="57" xfId="3" applyNumberFormat="1" applyFont="1" applyBorder="1" applyAlignment="1">
      <alignment horizontal="right"/>
    </xf>
    <xf numFmtId="166" fontId="23" fillId="0" borderId="57" xfId="3" applyNumberFormat="1" applyFont="1" applyBorder="1" applyAlignment="1">
      <alignment horizontal="right"/>
    </xf>
    <xf numFmtId="0" fontId="16" fillId="7" borderId="58" xfId="3" applyFont="1" applyFill="1" applyBorder="1" applyAlignment="1">
      <alignment horizontal="left"/>
    </xf>
    <xf numFmtId="0" fontId="5" fillId="7" borderId="58" xfId="3" applyFont="1" applyFill="1" applyBorder="1" applyAlignment="1">
      <alignment horizontal="left"/>
    </xf>
    <xf numFmtId="0" fontId="16" fillId="7" borderId="58" xfId="3" applyFont="1" applyFill="1" applyBorder="1" applyAlignment="1">
      <alignment horizontal="center"/>
    </xf>
    <xf numFmtId="4" fontId="16" fillId="7" borderId="58" xfId="3" applyNumberFormat="1" applyFont="1" applyFill="1" applyBorder="1" applyAlignment="1">
      <alignment horizontal="right"/>
    </xf>
    <xf numFmtId="4" fontId="20" fillId="7" borderId="58" xfId="3" applyNumberFormat="1" applyFont="1" applyFill="1" applyBorder="1" applyAlignment="1">
      <alignment horizontal="right"/>
    </xf>
    <xf numFmtId="165" fontId="23" fillId="7" borderId="58" xfId="3" applyNumberFormat="1" applyFont="1" applyFill="1" applyBorder="1" applyAlignment="1">
      <alignment horizontal="right"/>
    </xf>
    <xf numFmtId="166" fontId="23" fillId="7" borderId="58" xfId="3" applyNumberFormat="1" applyFont="1" applyFill="1" applyBorder="1" applyAlignment="1">
      <alignment horizontal="right"/>
    </xf>
    <xf numFmtId="49" fontId="1" fillId="0" borderId="57" xfId="3" applyNumberFormat="1" applyFont="1" applyBorder="1" applyAlignment="1">
      <alignment horizontal="left"/>
    </xf>
    <xf numFmtId="166" fontId="1" fillId="0" borderId="57" xfId="3" applyNumberFormat="1" applyFont="1" applyBorder="1"/>
    <xf numFmtId="166" fontId="1" fillId="0" borderId="58" xfId="3" applyNumberFormat="1" applyFont="1" applyBorder="1"/>
    <xf numFmtId="49" fontId="1" fillId="0" borderId="56" xfId="3" applyNumberFormat="1" applyFont="1" applyBorder="1" applyAlignment="1">
      <alignment horizontal="left"/>
    </xf>
    <xf numFmtId="166" fontId="1" fillId="0" borderId="56" xfId="3" applyNumberFormat="1" applyFont="1" applyBorder="1"/>
    <xf numFmtId="0" fontId="24" fillId="0" borderId="58" xfId="3" applyFont="1" applyBorder="1"/>
    <xf numFmtId="0" fontId="29" fillId="0" borderId="58" xfId="3" applyBorder="1" applyAlignment="1">
      <alignment wrapText="1"/>
    </xf>
    <xf numFmtId="0" fontId="21" fillId="0" borderId="58" xfId="3" applyFont="1" applyBorder="1"/>
    <xf numFmtId="4" fontId="16" fillId="0" borderId="58" xfId="3" applyNumberFormat="1" applyFont="1" applyBorder="1" applyAlignment="1">
      <alignment horizontal="center"/>
    </xf>
    <xf numFmtId="165" fontId="16" fillId="0" borderId="58" xfId="3" applyNumberFormat="1" applyFont="1" applyBorder="1" applyAlignment="1">
      <alignment horizontal="right"/>
    </xf>
    <xf numFmtId="0" fontId="1" fillId="0" borderId="57" xfId="10" applyFont="1" applyBorder="1" applyAlignment="1">
      <alignment horizontal="left"/>
    </xf>
    <xf numFmtId="0" fontId="1" fillId="0" borderId="57" xfId="10" applyFont="1" applyBorder="1"/>
    <xf numFmtId="0" fontId="1" fillId="0" borderId="58" xfId="10" applyFont="1" applyBorder="1"/>
    <xf numFmtId="0" fontId="26" fillId="0" borderId="57" xfId="3" applyFont="1" applyBorder="1"/>
    <xf numFmtId="4" fontId="20" fillId="0" borderId="57" xfId="3" applyNumberFormat="1" applyFont="1" applyBorder="1" applyAlignment="1">
      <alignment horizontal="right"/>
    </xf>
    <xf numFmtId="0" fontId="29" fillId="0" borderId="57" xfId="3" applyBorder="1" applyAlignment="1">
      <alignment horizontal="center"/>
    </xf>
    <xf numFmtId="165" fontId="1" fillId="0" borderId="58" xfId="3" applyNumberFormat="1" applyFont="1" applyBorder="1"/>
    <xf numFmtId="0" fontId="16" fillId="0" borderId="56" xfId="3" applyFont="1" applyBorder="1" applyAlignment="1">
      <alignment horizontal="left"/>
    </xf>
    <xf numFmtId="165" fontId="1" fillId="0" borderId="56" xfId="3" applyNumberFormat="1" applyFont="1" applyBorder="1"/>
    <xf numFmtId="0" fontId="16" fillId="0" borderId="55" xfId="3" applyFont="1" applyBorder="1" applyAlignment="1">
      <alignment horizontal="left"/>
    </xf>
    <xf numFmtId="0" fontId="29" fillId="0" borderId="55" xfId="3" applyBorder="1"/>
    <xf numFmtId="0" fontId="1" fillId="0" borderId="55" xfId="3" applyFont="1" applyBorder="1" applyAlignment="1">
      <alignment horizontal="center"/>
    </xf>
    <xf numFmtId="4" fontId="1" fillId="0" borderId="55" xfId="3" applyNumberFormat="1" applyFont="1" applyBorder="1" applyAlignment="1">
      <alignment horizontal="right"/>
    </xf>
    <xf numFmtId="167" fontId="1" fillId="0" borderId="55" xfId="3" applyNumberFormat="1" applyFont="1" applyBorder="1"/>
    <xf numFmtId="166" fontId="1" fillId="0" borderId="55" xfId="3" applyNumberFormat="1" applyFont="1" applyBorder="1" applyAlignment="1">
      <alignment horizontal="right"/>
    </xf>
    <xf numFmtId="165" fontId="1" fillId="0" borderId="55" xfId="3" applyNumberFormat="1" applyFont="1" applyBorder="1"/>
    <xf numFmtId="0" fontId="1" fillId="0" borderId="55" xfId="3" applyFont="1" applyBorder="1" applyAlignment="1">
      <alignment horizontal="left"/>
    </xf>
    <xf numFmtId="165" fontId="16" fillId="7" borderId="58" xfId="3" applyNumberFormat="1" applyFont="1" applyFill="1" applyBorder="1" applyAlignment="1">
      <alignment horizontal="right"/>
    </xf>
    <xf numFmtId="166" fontId="16" fillId="7" borderId="58" xfId="3" applyNumberFormat="1" applyFont="1" applyFill="1" applyBorder="1" applyAlignment="1">
      <alignment horizontal="right"/>
    </xf>
    <xf numFmtId="4" fontId="1" fillId="14" borderId="57" xfId="3" applyNumberFormat="1" applyFont="1" applyFill="1" applyBorder="1" applyProtection="1">
      <protection locked="0"/>
    </xf>
    <xf numFmtId="4" fontId="1" fillId="14" borderId="58" xfId="3" applyNumberFormat="1" applyFont="1" applyFill="1" applyBorder="1" applyProtection="1">
      <protection locked="0"/>
    </xf>
    <xf numFmtId="4" fontId="1" fillId="14" borderId="56" xfId="3" applyNumberFormat="1" applyFont="1" applyFill="1" applyBorder="1" applyProtection="1">
      <protection locked="0"/>
    </xf>
    <xf numFmtId="4" fontId="1" fillId="14" borderId="55" xfId="3" applyNumberFormat="1" applyFont="1" applyFill="1" applyBorder="1" applyProtection="1">
      <protection locked="0"/>
    </xf>
    <xf numFmtId="0" fontId="1" fillId="0" borderId="74" xfId="4" applyBorder="1"/>
    <xf numFmtId="0" fontId="16" fillId="0" borderId="75" xfId="4" applyFont="1" applyBorder="1"/>
    <xf numFmtId="0" fontId="1" fillId="0" borderId="75" xfId="4" applyBorder="1"/>
    <xf numFmtId="4" fontId="1" fillId="0" borderId="75" xfId="4" applyNumberFormat="1" applyBorder="1" applyAlignment="1">
      <alignment horizontal="right"/>
    </xf>
    <xf numFmtId="0" fontId="1" fillId="0" borderId="75" xfId="4" applyBorder="1" applyAlignment="1">
      <alignment horizontal="right"/>
    </xf>
    <xf numFmtId="4" fontId="5" fillId="0" borderId="76" xfId="4" applyNumberFormat="1" applyFont="1" applyBorder="1" applyAlignment="1">
      <alignment horizontal="right"/>
    </xf>
    <xf numFmtId="0" fontId="32" fillId="0" borderId="1" xfId="5" applyFont="1" applyBorder="1" applyAlignment="1">
      <alignment vertical="top"/>
    </xf>
    <xf numFmtId="0" fontId="16" fillId="0" borderId="0" xfId="5" applyFont="1" applyAlignment="1">
      <alignment vertical="center"/>
    </xf>
    <xf numFmtId="0" fontId="1" fillId="0" borderId="0" xfId="5" applyAlignment="1">
      <alignment vertical="center" wrapText="1"/>
    </xf>
    <xf numFmtId="4" fontId="1" fillId="0" borderId="0" xfId="5" applyNumberFormat="1" applyAlignment="1">
      <alignment horizontal="right" vertical="center" wrapText="1"/>
    </xf>
    <xf numFmtId="0" fontId="1" fillId="0" borderId="0" xfId="5" applyAlignment="1">
      <alignment horizontal="right" vertical="center" wrapText="1"/>
    </xf>
    <xf numFmtId="0" fontId="1" fillId="0" borderId="0" xfId="5" applyAlignment="1">
      <alignment vertical="center"/>
    </xf>
    <xf numFmtId="14" fontId="33" fillId="0" borderId="2" xfId="5" applyNumberFormat="1" applyFont="1" applyBorder="1" applyAlignment="1">
      <alignment vertical="center"/>
    </xf>
    <xf numFmtId="0" fontId="34" fillId="0" borderId="1" xfId="5" applyFont="1" applyBorder="1" applyAlignment="1">
      <alignment horizontal="left"/>
    </xf>
    <xf numFmtId="0" fontId="16" fillId="0" borderId="0" xfId="5" applyFont="1" applyAlignment="1">
      <alignment horizontal="center"/>
    </xf>
    <xf numFmtId="0" fontId="4" fillId="0" borderId="0" xfId="5" applyFont="1" applyAlignment="1">
      <alignment horizontal="left"/>
    </xf>
    <xf numFmtId="0" fontId="35" fillId="0" borderId="0" xfId="5" applyFont="1"/>
    <xf numFmtId="4" fontId="36" fillId="0" borderId="0" xfId="5" applyNumberFormat="1" applyFont="1" applyAlignment="1">
      <alignment horizontal="right"/>
    </xf>
    <xf numFmtId="0" fontId="35" fillId="0" borderId="0" xfId="5" applyFont="1" applyAlignment="1">
      <alignment horizontal="right"/>
    </xf>
    <xf numFmtId="4" fontId="35" fillId="0" borderId="0" xfId="5" applyNumberFormat="1" applyFont="1" applyAlignment="1">
      <alignment horizontal="right"/>
    </xf>
    <xf numFmtId="0" fontId="1" fillId="0" borderId="0" xfId="5" applyAlignment="1">
      <alignment horizontal="right" vertical="center"/>
    </xf>
    <xf numFmtId="0" fontId="37" fillId="0" borderId="0" xfId="0" applyFont="1" applyAlignment="1">
      <alignment horizontal="right" vertical="center"/>
    </xf>
    <xf numFmtId="14" fontId="11" fillId="0" borderId="2" xfId="4" applyNumberFormat="1" applyFont="1" applyBorder="1" applyAlignment="1">
      <alignment horizontal="right" vertical="center"/>
    </xf>
    <xf numFmtId="0" fontId="13" fillId="0" borderId="0" xfId="5" applyFont="1" applyAlignment="1">
      <alignment horizontal="left"/>
    </xf>
    <xf numFmtId="0" fontId="5" fillId="0" borderId="2" xfId="5" applyFont="1" applyBorder="1" applyAlignment="1">
      <alignment vertical="center"/>
    </xf>
    <xf numFmtId="0" fontId="39" fillId="0" borderId="0" xfId="6" applyFont="1" applyFill="1" applyAlignment="1">
      <alignment horizontal="left"/>
    </xf>
    <xf numFmtId="1" fontId="40" fillId="0" borderId="0" xfId="5" applyNumberFormat="1" applyFont="1" applyAlignment="1">
      <alignment horizontal="left"/>
    </xf>
    <xf numFmtId="4" fontId="3" fillId="0" borderId="0" xfId="5" applyNumberFormat="1" applyFont="1" applyAlignment="1">
      <alignment horizontal="right" vertical="center"/>
    </xf>
    <xf numFmtId="0" fontId="35" fillId="0" borderId="0" xfId="5" applyFont="1" applyAlignment="1">
      <alignment horizontal="right" vertical="center"/>
    </xf>
    <xf numFmtId="4" fontId="41" fillId="0" borderId="0" xfId="6" applyNumberFormat="1" applyFont="1" applyFill="1" applyAlignment="1">
      <alignment horizontal="right" vertical="center"/>
    </xf>
    <xf numFmtId="4" fontId="42" fillId="0" borderId="0" xfId="6" applyNumberFormat="1" applyFont="1" applyFill="1" applyAlignment="1">
      <alignment horizontal="right" vertical="center"/>
    </xf>
    <xf numFmtId="4" fontId="39" fillId="0" borderId="82" xfId="6" applyNumberFormat="1" applyFont="1" applyFill="1" applyBorder="1" applyAlignment="1">
      <alignment horizontal="right" vertical="center"/>
    </xf>
    <xf numFmtId="49" fontId="43" fillId="0" borderId="83" xfId="6" applyNumberFormat="1" applyFont="1" applyFill="1" applyBorder="1" applyAlignment="1">
      <alignment horizontal="center" vertical="center"/>
    </xf>
    <xf numFmtId="49" fontId="44" fillId="0" borderId="64" xfId="6" applyNumberFormat="1" applyFont="1" applyFill="1" applyBorder="1" applyAlignment="1">
      <alignment horizontal="center" vertical="center"/>
    </xf>
    <xf numFmtId="0" fontId="39" fillId="0" borderId="64" xfId="6" applyFont="1" applyFill="1" applyBorder="1" applyAlignment="1">
      <alignment horizontal="left" vertical="center"/>
    </xf>
    <xf numFmtId="0" fontId="45" fillId="0" borderId="64" xfId="6" applyFont="1" applyFill="1" applyBorder="1" applyAlignment="1">
      <alignment horizontal="left" vertical="center"/>
    </xf>
    <xf numFmtId="4" fontId="46" fillId="0" borderId="64" xfId="6" applyNumberFormat="1" applyFont="1" applyFill="1" applyBorder="1" applyAlignment="1">
      <alignment horizontal="right" vertical="center"/>
    </xf>
    <xf numFmtId="0" fontId="46" fillId="0" borderId="64" xfId="6" applyFont="1" applyFill="1" applyBorder="1" applyAlignment="1">
      <alignment horizontal="right" vertical="center"/>
    </xf>
    <xf numFmtId="4" fontId="39" fillId="0" borderId="64" xfId="6" applyNumberFormat="1" applyFont="1" applyFill="1" applyBorder="1" applyAlignment="1">
      <alignment horizontal="right" vertical="center"/>
    </xf>
    <xf numFmtId="4" fontId="47" fillId="0" borderId="64" xfId="6" applyNumberFormat="1" applyFont="1" applyFill="1" applyBorder="1" applyAlignment="1">
      <alignment horizontal="right" vertical="center"/>
    </xf>
    <xf numFmtId="4" fontId="39" fillId="0" borderId="2" xfId="6" applyNumberFormat="1" applyFont="1" applyFill="1" applyBorder="1" applyAlignment="1">
      <alignment horizontal="right" vertical="center"/>
    </xf>
    <xf numFmtId="49" fontId="48" fillId="11" borderId="84" xfId="5" applyNumberFormat="1" applyFont="1" applyFill="1" applyBorder="1" applyAlignment="1">
      <alignment horizontal="center" vertical="top" wrapText="1"/>
    </xf>
    <xf numFmtId="49" fontId="48" fillId="11" borderId="65" xfId="5" applyNumberFormat="1" applyFont="1" applyFill="1" applyBorder="1" applyAlignment="1">
      <alignment horizontal="center" vertical="top" wrapText="1"/>
    </xf>
    <xf numFmtId="0" fontId="48" fillId="11" borderId="65" xfId="5" applyFont="1" applyFill="1" applyBorder="1" applyAlignment="1">
      <alignment horizontal="left" vertical="top" wrapText="1"/>
    </xf>
    <xf numFmtId="4" fontId="48" fillId="11" borderId="65" xfId="5" applyNumberFormat="1" applyFont="1" applyFill="1" applyBorder="1" applyAlignment="1">
      <alignment horizontal="right" vertical="top" wrapText="1"/>
    </xf>
    <xf numFmtId="0" fontId="48" fillId="11" borderId="65" xfId="5" applyFont="1" applyFill="1" applyBorder="1" applyAlignment="1">
      <alignment horizontal="right" vertical="top" wrapText="1"/>
    </xf>
    <xf numFmtId="4" fontId="48" fillId="11" borderId="66" xfId="5" applyNumberFormat="1" applyFont="1" applyFill="1" applyBorder="1" applyAlignment="1">
      <alignment horizontal="right" vertical="top" wrapText="1"/>
    </xf>
    <xf numFmtId="4" fontId="48" fillId="0" borderId="67" xfId="5" applyNumberFormat="1" applyFont="1" applyBorder="1" applyAlignment="1">
      <alignment horizontal="right" vertical="top" wrapText="1"/>
    </xf>
    <xf numFmtId="4" fontId="49" fillId="11" borderId="85" xfId="5" applyNumberFormat="1" applyFont="1" applyFill="1" applyBorder="1" applyAlignment="1">
      <alignment horizontal="right" vertical="top" wrapText="1"/>
    </xf>
    <xf numFmtId="0" fontId="3" fillId="12" borderId="86" xfId="6" applyFont="1" applyFill="1" applyBorder="1" applyAlignment="1">
      <alignment horizontal="left" vertical="center"/>
    </xf>
    <xf numFmtId="0" fontId="11" fillId="12" borderId="68" xfId="6" applyFont="1" applyFill="1" applyBorder="1" applyAlignment="1">
      <alignment horizontal="center" vertical="center"/>
    </xf>
    <xf numFmtId="0" fontId="11" fillId="12" borderId="68" xfId="6" applyFont="1" applyFill="1" applyBorder="1" applyAlignment="1">
      <alignment vertical="center" wrapText="1"/>
    </xf>
    <xf numFmtId="0" fontId="50" fillId="12" borderId="68" xfId="6" applyFont="1" applyFill="1" applyBorder="1" applyAlignment="1">
      <alignment horizontal="left" vertical="center"/>
    </xf>
    <xf numFmtId="4" fontId="3" fillId="12" borderId="68" xfId="6" applyNumberFormat="1" applyFont="1" applyFill="1" applyBorder="1" applyAlignment="1">
      <alignment horizontal="right" vertical="center"/>
    </xf>
    <xf numFmtId="4" fontId="13" fillId="12" borderId="68" xfId="5" applyNumberFormat="1" applyFont="1" applyFill="1" applyBorder="1" applyAlignment="1">
      <alignment horizontal="right" vertical="center"/>
    </xf>
    <xf numFmtId="4" fontId="13" fillId="12" borderId="68" xfId="6" applyNumberFormat="1" applyFont="1" applyFill="1" applyBorder="1" applyAlignment="1">
      <alignment horizontal="right" vertical="center"/>
    </xf>
    <xf numFmtId="4" fontId="13" fillId="12" borderId="69" xfId="6" applyNumberFormat="1" applyFont="1" applyFill="1" applyBorder="1" applyAlignment="1">
      <alignment horizontal="right" vertical="center"/>
    </xf>
    <xf numFmtId="4" fontId="11" fillId="0" borderId="0" xfId="6" applyNumberFormat="1" applyFont="1" applyFill="1" applyAlignment="1">
      <alignment horizontal="right" vertical="center"/>
    </xf>
    <xf numFmtId="4" fontId="11" fillId="12" borderId="70" xfId="6" applyNumberFormat="1" applyFont="1" applyFill="1" applyBorder="1" applyAlignment="1">
      <alignment horizontal="right" vertical="center"/>
    </xf>
    <xf numFmtId="0" fontId="51" fillId="0" borderId="84" xfId="5" applyFont="1" applyBorder="1" applyAlignment="1">
      <alignment horizontal="center" vertical="center"/>
    </xf>
    <xf numFmtId="0" fontId="52" fillId="0" borderId="65" xfId="5" applyFont="1" applyBorder="1" applyAlignment="1">
      <alignment horizontal="center" vertical="center"/>
    </xf>
    <xf numFmtId="0" fontId="16" fillId="0" borderId="65" xfId="5" applyFont="1" applyBorder="1" applyAlignment="1">
      <alignment vertical="center" wrapText="1"/>
    </xf>
    <xf numFmtId="49" fontId="16" fillId="0" borderId="65" xfId="5" applyNumberFormat="1" applyFont="1" applyBorder="1" applyAlignment="1">
      <alignment horizontal="center" vertical="center" shrinkToFit="1"/>
    </xf>
    <xf numFmtId="4" fontId="16" fillId="0" borderId="65" xfId="5" applyNumberFormat="1" applyFont="1" applyBorder="1" applyAlignment="1">
      <alignment horizontal="right" vertical="center"/>
    </xf>
    <xf numFmtId="4" fontId="16" fillId="0" borderId="0" xfId="5" applyNumberFormat="1" applyFont="1" applyAlignment="1">
      <alignment horizontal="right" vertical="center"/>
    </xf>
    <xf numFmtId="4" fontId="53" fillId="0" borderId="71" xfId="5" applyNumberFormat="1" applyFont="1" applyBorder="1" applyAlignment="1">
      <alignment horizontal="right" vertical="center"/>
    </xf>
    <xf numFmtId="0" fontId="54" fillId="12" borderId="68" xfId="6" applyFont="1" applyFill="1" applyBorder="1" applyAlignment="1">
      <alignment horizontal="center" vertical="center"/>
    </xf>
    <xf numFmtId="4" fontId="11" fillId="12" borderId="71" xfId="6" applyNumberFormat="1" applyFont="1" applyFill="1" applyBorder="1" applyAlignment="1">
      <alignment horizontal="right" vertical="center"/>
    </xf>
    <xf numFmtId="0" fontId="55" fillId="0" borderId="65" xfId="5" applyFont="1" applyBorder="1" applyAlignment="1">
      <alignment vertical="center" wrapText="1"/>
    </xf>
    <xf numFmtId="0" fontId="16" fillId="13" borderId="65" xfId="5" applyFont="1" applyFill="1" applyBorder="1" applyAlignment="1">
      <alignment vertical="center" wrapText="1"/>
    </xf>
    <xf numFmtId="49" fontId="16" fillId="13" borderId="65" xfId="5" applyNumberFormat="1" applyFont="1" applyFill="1" applyBorder="1" applyAlignment="1">
      <alignment horizontal="center" vertical="center" shrinkToFit="1"/>
    </xf>
    <xf numFmtId="4" fontId="16" fillId="13" borderId="65" xfId="5" applyNumberFormat="1" applyFont="1" applyFill="1" applyBorder="1" applyAlignment="1">
      <alignment horizontal="right" vertical="center"/>
    </xf>
    <xf numFmtId="0" fontId="51" fillId="0" borderId="87" xfId="5" applyFont="1" applyBorder="1" applyAlignment="1">
      <alignment horizontal="center" vertical="center"/>
    </xf>
    <xf numFmtId="0" fontId="52" fillId="0" borderId="88" xfId="5" applyFont="1" applyBorder="1" applyAlignment="1">
      <alignment horizontal="center" vertical="center"/>
    </xf>
    <xf numFmtId="0" fontId="16" fillId="0" borderId="88" xfId="5" applyFont="1" applyBorder="1" applyAlignment="1">
      <alignment vertical="center" wrapText="1"/>
    </xf>
    <xf numFmtId="49" fontId="16" fillId="0" borderId="88" xfId="5" applyNumberFormat="1" applyFont="1" applyBorder="1" applyAlignment="1">
      <alignment horizontal="center" vertical="center" shrinkToFit="1"/>
    </xf>
    <xf numFmtId="4" fontId="16" fillId="0" borderId="88" xfId="5" applyNumberFormat="1" applyFont="1" applyBorder="1" applyAlignment="1">
      <alignment horizontal="right" vertical="center"/>
    </xf>
    <xf numFmtId="4" fontId="16" fillId="0" borderId="77" xfId="5" applyNumberFormat="1" applyFont="1" applyBorder="1" applyAlignment="1">
      <alignment horizontal="right" vertical="center"/>
    </xf>
    <xf numFmtId="4" fontId="53" fillId="0" borderId="89" xfId="5" applyNumberFormat="1" applyFont="1" applyBorder="1" applyAlignment="1">
      <alignment horizontal="right" vertical="center"/>
    </xf>
    <xf numFmtId="4" fontId="16" fillId="15" borderId="65" xfId="5" applyNumberFormat="1" applyFont="1" applyFill="1" applyBorder="1" applyAlignment="1" applyProtection="1">
      <alignment horizontal="right" vertical="center"/>
      <protection locked="0"/>
    </xf>
    <xf numFmtId="4" fontId="16" fillId="16" borderId="65" xfId="5" applyNumberFormat="1" applyFont="1" applyFill="1" applyBorder="1" applyAlignment="1" applyProtection="1">
      <alignment horizontal="right" vertical="center"/>
      <protection locked="0"/>
    </xf>
    <xf numFmtId="4" fontId="16" fillId="16" borderId="88" xfId="5" applyNumberFormat="1" applyFont="1" applyFill="1" applyBorder="1" applyAlignment="1" applyProtection="1">
      <alignment horizontal="right" vertical="center"/>
      <protection locked="0"/>
    </xf>
    <xf numFmtId="4" fontId="29" fillId="17" borderId="0" xfId="0" applyNumberFormat="1" applyFont="1" applyFill="1" applyAlignment="1" applyProtection="1">
      <alignment horizontal="right" vertical="center"/>
      <protection locked="0"/>
    </xf>
    <xf numFmtId="4" fontId="29" fillId="17" borderId="62" xfId="0" applyNumberFormat="1" applyFont="1" applyFill="1" applyBorder="1" applyAlignment="1" applyProtection="1">
      <alignment horizontal="right" vertical="center"/>
      <protection locked="0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6" fillId="0" borderId="0" xfId="4" applyFont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9" fillId="0" borderId="0" xfId="0" applyFont="1" applyAlignment="1">
      <alignment horizontal="left" vertical="center" wrapText="1"/>
    </xf>
    <xf numFmtId="0" fontId="26" fillId="9" borderId="0" xfId="0" applyFont="1" applyFill="1" applyAlignment="1">
      <alignment horizontal="left" vertical="center" wrapText="1"/>
    </xf>
    <xf numFmtId="0" fontId="30" fillId="0" borderId="0" xfId="0" applyFont="1" applyAlignment="1">
      <alignment horizontal="center" vertical="center"/>
    </xf>
    <xf numFmtId="0" fontId="26" fillId="0" borderId="73" xfId="0" applyFont="1" applyBorder="1" applyAlignment="1">
      <alignment horizontal="left" vertical="center"/>
    </xf>
    <xf numFmtId="0" fontId="29" fillId="0" borderId="62" xfId="0" applyFont="1" applyBorder="1" applyAlignment="1">
      <alignment horizontal="left" vertical="center" wrapText="1"/>
    </xf>
    <xf numFmtId="0" fontId="57" fillId="18" borderId="91" xfId="0" applyFont="1" applyFill="1" applyBorder="1"/>
    <xf numFmtId="0" fontId="57" fillId="18" borderId="0" xfId="0" applyFont="1" applyFill="1"/>
    <xf numFmtId="4" fontId="57" fillId="18" borderId="0" xfId="0" applyNumberFormat="1" applyFont="1" applyFill="1"/>
    <xf numFmtId="4" fontId="57" fillId="18" borderId="0" xfId="0" applyNumberFormat="1" applyFont="1" applyFill="1" applyProtection="1">
      <protection locked="0"/>
    </xf>
    <xf numFmtId="4" fontId="57" fillId="18" borderId="2" xfId="0" applyNumberFormat="1" applyFont="1" applyFill="1" applyBorder="1"/>
    <xf numFmtId="4" fontId="5" fillId="0" borderId="78" xfId="0" applyNumberFormat="1" applyFont="1" applyBorder="1"/>
  </cellXfs>
  <cellStyles count="13">
    <cellStyle name="Excel Built-in Bad" xfId="6" xr:uid="{00000000-0005-0000-0000-000000000000}"/>
    <cellStyle name="Excel Built-in Normal" xfId="4" xr:uid="{00000000-0005-0000-0000-000001000000}"/>
    <cellStyle name="Normální" xfId="0" builtinId="0"/>
    <cellStyle name="Normální 10" xfId="12" xr:uid="{00000000-0005-0000-0000-000003000000}"/>
    <cellStyle name="normální 2" xfId="1" xr:uid="{00000000-0005-0000-0000-000004000000}"/>
    <cellStyle name="Normální 3" xfId="2" xr:uid="{00000000-0005-0000-0000-000005000000}"/>
    <cellStyle name="Normální 4" xfId="3" xr:uid="{00000000-0005-0000-0000-000006000000}"/>
    <cellStyle name="Normální 5" xfId="7" xr:uid="{00000000-0005-0000-0000-000007000000}"/>
    <cellStyle name="Normální 6" xfId="8" xr:uid="{00000000-0005-0000-0000-000008000000}"/>
    <cellStyle name="Normální 7" xfId="9" xr:uid="{00000000-0005-0000-0000-000009000000}"/>
    <cellStyle name="Normální 8" xfId="10" xr:uid="{00000000-0005-0000-0000-00000A000000}"/>
    <cellStyle name="Normální 9" xfId="11" xr:uid="{00000000-0005-0000-0000-00000B000000}"/>
    <cellStyle name="normální_POL.XLS" xfId="5" xr:uid="{00000000-0005-0000-0000-00000C000000}"/>
  </cellStyles>
  <dxfs count="6"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86"/>
  <sheetViews>
    <sheetView showGridLines="0" view="pageBreakPreview" topLeftCell="B1" zoomScale="80" zoomScaleNormal="100" zoomScaleSheetLayoutView="80" workbookViewId="0">
      <selection activeCell="C75" sqref="C75:E75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8" width="13" customWidth="1"/>
    <col min="9" max="9" width="15.33203125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542" t="s">
        <v>4</v>
      </c>
      <c r="C1" s="543"/>
      <c r="D1" s="543"/>
      <c r="E1" s="543"/>
      <c r="F1" s="543"/>
      <c r="G1" s="543"/>
      <c r="H1" s="543"/>
      <c r="I1" s="543"/>
      <c r="J1" s="544"/>
    </row>
    <row r="2" spans="1:15" ht="36" customHeight="1" x14ac:dyDescent="0.25">
      <c r="A2" s="2"/>
      <c r="B2" s="74" t="s">
        <v>24</v>
      </c>
      <c r="C2" s="75"/>
      <c r="D2" s="76" t="s">
        <v>41</v>
      </c>
      <c r="E2" s="548" t="s">
        <v>42</v>
      </c>
      <c r="F2" s="549"/>
      <c r="G2" s="549"/>
      <c r="H2" s="549"/>
      <c r="I2" s="549"/>
      <c r="J2" s="550"/>
      <c r="O2" s="1"/>
    </row>
    <row r="3" spans="1:15" ht="27" hidden="1" customHeight="1" x14ac:dyDescent="0.25">
      <c r="A3" s="2"/>
      <c r="B3" s="77"/>
      <c r="C3" s="75"/>
      <c r="D3" s="78"/>
      <c r="E3" s="551"/>
      <c r="F3" s="552"/>
      <c r="G3" s="552"/>
      <c r="H3" s="552"/>
      <c r="I3" s="552"/>
      <c r="J3" s="553"/>
    </row>
    <row r="4" spans="1:15" ht="23.25" customHeight="1" x14ac:dyDescent="0.25">
      <c r="A4" s="2"/>
      <c r="B4" s="79"/>
      <c r="C4" s="80"/>
      <c r="D4" s="81"/>
      <c r="E4" s="528"/>
      <c r="F4" s="528"/>
      <c r="G4" s="528"/>
      <c r="H4" s="528"/>
      <c r="I4" s="528"/>
      <c r="J4" s="529"/>
    </row>
    <row r="5" spans="1:15" ht="24" customHeight="1" x14ac:dyDescent="0.25">
      <c r="A5" s="2"/>
      <c r="B5" s="31" t="s">
        <v>23</v>
      </c>
      <c r="D5" s="532"/>
      <c r="E5" s="533"/>
      <c r="F5" s="533"/>
      <c r="G5" s="53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534"/>
      <c r="E6" s="535"/>
      <c r="F6" s="535"/>
      <c r="G6" s="535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536"/>
      <c r="F7" s="537"/>
      <c r="G7" s="537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555"/>
      <c r="E11" s="555"/>
      <c r="F11" s="555"/>
      <c r="G11" s="555"/>
      <c r="H11" s="18" t="s">
        <v>40</v>
      </c>
      <c r="I11" s="82"/>
      <c r="J11" s="8"/>
    </row>
    <row r="12" spans="1:15" ht="15.75" customHeight="1" x14ac:dyDescent="0.25">
      <c r="A12" s="2"/>
      <c r="B12" s="28"/>
      <c r="C12" s="55"/>
      <c r="D12" s="527"/>
      <c r="E12" s="527"/>
      <c r="F12" s="527"/>
      <c r="G12" s="527"/>
      <c r="H12" s="18" t="s">
        <v>36</v>
      </c>
      <c r="I12" s="82"/>
      <c r="J12" s="8"/>
    </row>
    <row r="13" spans="1:15" ht="15.75" customHeight="1" x14ac:dyDescent="0.25">
      <c r="A13" s="2"/>
      <c r="B13" s="29"/>
      <c r="C13" s="56"/>
      <c r="D13" s="83"/>
      <c r="E13" s="530"/>
      <c r="F13" s="531"/>
      <c r="G13" s="531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38" t="s">
        <v>1060</v>
      </c>
      <c r="E14" s="539"/>
      <c r="F14" s="539"/>
      <c r="G14" s="539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4"/>
      <c r="E15" s="554"/>
      <c r="F15" s="554"/>
      <c r="G15" s="556"/>
      <c r="H15" s="556"/>
      <c r="I15" s="556" t="s">
        <v>31</v>
      </c>
      <c r="J15" s="557"/>
    </row>
    <row r="16" spans="1:15" ht="23.25" customHeight="1" x14ac:dyDescent="0.25">
      <c r="A16" s="136" t="s">
        <v>26</v>
      </c>
      <c r="B16" s="38" t="s">
        <v>26</v>
      </c>
      <c r="C16" s="60"/>
      <c r="D16" s="61"/>
      <c r="E16" s="517"/>
      <c r="F16" s="518"/>
      <c r="G16" s="517"/>
      <c r="H16" s="518"/>
      <c r="I16" s="224">
        <f>SUMIF(F56:F79,A16,I56:I79)+SUMIF(F56:F79,"PSU",I56:I79)</f>
        <v>0</v>
      </c>
      <c r="J16" s="225"/>
    </row>
    <row r="17" spans="1:10" ht="23.25" customHeight="1" x14ac:dyDescent="0.25">
      <c r="A17" s="136" t="s">
        <v>27</v>
      </c>
      <c r="B17" s="38" t="s">
        <v>27</v>
      </c>
      <c r="C17" s="60"/>
      <c r="D17" s="61"/>
      <c r="E17" s="517"/>
      <c r="F17" s="518"/>
      <c r="G17" s="517"/>
      <c r="H17" s="518"/>
      <c r="I17" s="224">
        <f>SUMIF(F56:F79,A17,I56:I79)</f>
        <v>0</v>
      </c>
      <c r="J17" s="225"/>
    </row>
    <row r="18" spans="1:10" ht="23.25" customHeight="1" x14ac:dyDescent="0.25">
      <c r="A18" s="136" t="s">
        <v>28</v>
      </c>
      <c r="B18" s="38" t="s">
        <v>28</v>
      </c>
      <c r="C18" s="60"/>
      <c r="D18" s="61"/>
      <c r="E18" s="517"/>
      <c r="F18" s="518"/>
      <c r="G18" s="517"/>
      <c r="H18" s="518"/>
      <c r="I18" s="224">
        <f>SUMIF(F56:F79,A18,I56:I79)</f>
        <v>0</v>
      </c>
      <c r="J18" s="225"/>
    </row>
    <row r="19" spans="1:10" ht="23.25" customHeight="1" x14ac:dyDescent="0.25">
      <c r="A19" s="136" t="s">
        <v>108</v>
      </c>
      <c r="B19" s="38" t="s">
        <v>29</v>
      </c>
      <c r="C19" s="60"/>
      <c r="D19" s="61"/>
      <c r="E19" s="517"/>
      <c r="F19" s="518"/>
      <c r="G19" s="517"/>
      <c r="H19" s="518"/>
      <c r="I19" s="224">
        <f>SUMIF(F56:F79,A19,I56:I79)</f>
        <v>0</v>
      </c>
      <c r="J19" s="225"/>
    </row>
    <row r="20" spans="1:10" ht="23.25" customHeight="1" x14ac:dyDescent="0.25">
      <c r="A20" s="136" t="s">
        <v>109</v>
      </c>
      <c r="B20" s="38" t="s">
        <v>30</v>
      </c>
      <c r="C20" s="60"/>
      <c r="D20" s="61"/>
      <c r="E20" s="517"/>
      <c r="F20" s="518"/>
      <c r="G20" s="517"/>
      <c r="H20" s="518"/>
      <c r="I20" s="224">
        <f>SUMIF(F56:F79,A20,I56:I79)</f>
        <v>0</v>
      </c>
      <c r="J20" s="225"/>
    </row>
    <row r="21" spans="1:10" ht="23.25" customHeight="1" x14ac:dyDescent="0.25">
      <c r="A21" s="2"/>
      <c r="B21" s="48" t="s">
        <v>31</v>
      </c>
      <c r="C21" s="62"/>
      <c r="D21" s="63"/>
      <c r="E21" s="525"/>
      <c r="F21" s="526"/>
      <c r="G21" s="525"/>
      <c r="H21" s="526"/>
      <c r="I21" s="223">
        <f>SUM(I16:J20)</f>
        <v>0</v>
      </c>
      <c r="J21" s="226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515">
        <f>ZakladDPHSniVypocet</f>
        <v>0</v>
      </c>
      <c r="H23" s="516"/>
      <c r="I23" s="516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513">
        <f>A23</f>
        <v>0</v>
      </c>
      <c r="H24" s="514"/>
      <c r="I24" s="514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515">
        <f>ZakladDPHZaklVypocet</f>
        <v>0</v>
      </c>
      <c r="H25" s="516"/>
      <c r="I25" s="516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545">
        <f>A25</f>
        <v>0</v>
      </c>
      <c r="H26" s="546"/>
      <c r="I26" s="546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547">
        <f>CenaCelkem-(ZakladDPHSni+DPHSni+ZakladDPHZakl+DPHZakl)</f>
        <v>0</v>
      </c>
      <c r="H27" s="547"/>
      <c r="I27" s="547"/>
      <c r="J27" s="41" t="str">
        <f t="shared" si="0"/>
        <v>CZK</v>
      </c>
    </row>
    <row r="28" spans="1:10" ht="27.75" hidden="1" customHeight="1" thickBot="1" x14ac:dyDescent="0.3">
      <c r="A28" s="2"/>
      <c r="B28" s="109" t="s">
        <v>25</v>
      </c>
      <c r="C28" s="110"/>
      <c r="D28" s="110"/>
      <c r="E28" s="111"/>
      <c r="F28" s="112"/>
      <c r="G28" s="519">
        <f>ZakladDPHSniVypocet+ZakladDPHZaklVypocet</f>
        <v>0</v>
      </c>
      <c r="H28" s="520"/>
      <c r="I28" s="520"/>
      <c r="J28" s="113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09" t="s">
        <v>37</v>
      </c>
      <c r="C29" s="114"/>
      <c r="D29" s="114"/>
      <c r="E29" s="114"/>
      <c r="F29" s="115"/>
      <c r="G29" s="519">
        <f>A27</f>
        <v>0</v>
      </c>
      <c r="H29" s="519"/>
      <c r="I29" s="519"/>
      <c r="J29" s="116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521"/>
      <c r="E34" s="522"/>
      <c r="G34" s="523"/>
      <c r="H34" s="524"/>
      <c r="I34" s="524"/>
      <c r="J34" s="25"/>
    </row>
    <row r="35" spans="1:10" ht="12.75" customHeight="1" x14ac:dyDescent="0.25">
      <c r="A35" s="2"/>
      <c r="B35" s="2"/>
      <c r="D35" s="512" t="s">
        <v>2</v>
      </c>
      <c r="E35" s="512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5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5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5">
      <c r="A39" s="85">
        <v>1</v>
      </c>
      <c r="B39" s="95" t="s">
        <v>43</v>
      </c>
      <c r="C39" s="510"/>
      <c r="D39" s="510"/>
      <c r="E39" s="510"/>
      <c r="F39" s="96">
        <f>'SO 12 D 1.4 Pol'!AE14+'SO 12 D 1.5 Pol'!AE49+'SO 12 D1.1 + D1.2 Pol'!AE293</f>
        <v>0</v>
      </c>
      <c r="G39" s="97">
        <f>'SO 12 D 1.4 Pol'!AF14+'SO 12 D 1.5 Pol'!AF49+'SO 12 D1.1 + D1.2 Pol'!AF293</f>
        <v>0</v>
      </c>
      <c r="H39" s="98">
        <f>(F39*SazbaDPH1/100)+(G39*SazbaDPH2/100)</f>
        <v>0</v>
      </c>
      <c r="I39" s="98">
        <f>F39+G39+H39</f>
        <v>0</v>
      </c>
      <c r="J39" s="99" t="str">
        <f>IF(_xlfn.SINGLE(CenaCelkemVypocet)=0,"",I39/_xlfn.SINGLE(CenaCelkemVypocet)*100)</f>
        <v/>
      </c>
    </row>
    <row r="40" spans="1:10" ht="25.5" customHeight="1" x14ac:dyDescent="0.25">
      <c r="A40" s="85">
        <v>2</v>
      </c>
      <c r="B40" s="100" t="s">
        <v>41</v>
      </c>
      <c r="C40" s="511" t="s">
        <v>44</v>
      </c>
      <c r="D40" s="511"/>
      <c r="E40" s="511"/>
      <c r="F40" s="101">
        <f>'SO 12 D 1.4 Pol'!AE14+'SO 12 D 1.5 Pol'!AE49+'SO 12 D1.1 + D1.2 Pol'!AE293</f>
        <v>0</v>
      </c>
      <c r="G40" s="102">
        <f>'SO 12 D1.1 + D1.2 Pol'!G293+'SO 12 D 1.4 Pol'!G14+'SO 12 D 1.5 Pol'!G49</f>
        <v>0</v>
      </c>
      <c r="H40" s="102">
        <f>(F40*SazbaDPH1/100)+(G40*SazbaDPH2/100)</f>
        <v>0</v>
      </c>
      <c r="I40" s="102">
        <f>F40+G40+H40</f>
        <v>0</v>
      </c>
      <c r="J40" s="103" t="str">
        <f>IF(_xlfn.SINGLE(CenaCelkemVypocet)=0,"",I40/_xlfn.SINGLE(CenaCelkemVypocet)*100)</f>
        <v/>
      </c>
    </row>
    <row r="41" spans="1:10" ht="25.5" customHeight="1" x14ac:dyDescent="0.25">
      <c r="A41" s="85">
        <v>3</v>
      </c>
      <c r="B41" s="104" t="s">
        <v>45</v>
      </c>
      <c r="C41" s="510" t="s">
        <v>46</v>
      </c>
      <c r="D41" s="510"/>
      <c r="E41" s="510"/>
      <c r="F41" s="105">
        <f>'SO 12 D 1.4 Pol'!AE14</f>
        <v>0</v>
      </c>
      <c r="G41" s="98">
        <f>'SO 12 D 1.4 Pol'!AF14</f>
        <v>0</v>
      </c>
      <c r="H41" s="98">
        <f>(F41*SazbaDPH1/100)+(G41*SazbaDPH2/100)</f>
        <v>0</v>
      </c>
      <c r="I41" s="98">
        <f>F41+G41+H41</f>
        <v>0</v>
      </c>
      <c r="J41" s="99" t="str">
        <f>IF(_xlfn.SINGLE(CenaCelkemVypocet)=0,"",I41/_xlfn.SINGLE(CenaCelkemVypocet)*100)</f>
        <v/>
      </c>
    </row>
    <row r="42" spans="1:10" ht="25.5" customHeight="1" x14ac:dyDescent="0.25">
      <c r="A42" s="85">
        <v>3</v>
      </c>
      <c r="B42" s="104" t="s">
        <v>47</v>
      </c>
      <c r="C42" s="510" t="s">
        <v>48</v>
      </c>
      <c r="D42" s="510"/>
      <c r="E42" s="510"/>
      <c r="F42" s="105">
        <f>'SO 12 D 1.5 Pol'!AE49</f>
        <v>0</v>
      </c>
      <c r="G42" s="98">
        <f>'SO 12 D 1.5 Pol'!AF49</f>
        <v>0</v>
      </c>
      <c r="H42" s="98">
        <f>(F42*SazbaDPH1/100)+(G42*SazbaDPH2/100)</f>
        <v>0</v>
      </c>
      <c r="I42" s="98">
        <f>F42+G42+H42</f>
        <v>0</v>
      </c>
      <c r="J42" s="99" t="str">
        <f>IF(_xlfn.SINGLE(CenaCelkemVypocet)=0,"",I42/_xlfn.SINGLE(CenaCelkemVypocet)*100)</f>
        <v/>
      </c>
    </row>
    <row r="43" spans="1:10" ht="25.5" customHeight="1" x14ac:dyDescent="0.25">
      <c r="A43" s="85">
        <v>3</v>
      </c>
      <c r="B43" s="104" t="s">
        <v>49</v>
      </c>
      <c r="C43" s="510" t="s">
        <v>50</v>
      </c>
      <c r="D43" s="510"/>
      <c r="E43" s="510"/>
      <c r="F43" s="105">
        <f>'SO 12 D1.1 + D1.2 Pol'!AE293</f>
        <v>0</v>
      </c>
      <c r="G43" s="98">
        <f>'SO 12 D1.1 + D1.2 Pol'!G293</f>
        <v>0</v>
      </c>
      <c r="H43" s="98">
        <f>(F43*SazbaDPH1/100)+(G43*SazbaDPH2/100)</f>
        <v>0</v>
      </c>
      <c r="I43" s="98">
        <f>F43+G43+H43</f>
        <v>0</v>
      </c>
      <c r="J43" s="99" t="str">
        <f>IF(_xlfn.SINGLE(CenaCelkemVypocet)=0,"",I43/_xlfn.SINGLE(CenaCelkemVypocet)*100)</f>
        <v/>
      </c>
    </row>
    <row r="44" spans="1:10" ht="25.5" customHeight="1" x14ac:dyDescent="0.25">
      <c r="A44" s="85"/>
      <c r="B44" s="507" t="s">
        <v>51</v>
      </c>
      <c r="C44" s="508"/>
      <c r="D44" s="508"/>
      <c r="E44" s="509"/>
      <c r="F44" s="106">
        <f>SUMIF(A39:A43,"=1",F39:F43)</f>
        <v>0</v>
      </c>
      <c r="G44" s="107">
        <f>SUM(G41:G43)</f>
        <v>0</v>
      </c>
      <c r="H44" s="107">
        <f>SUM(H41:H43)</f>
        <v>0</v>
      </c>
      <c r="I44" s="107">
        <f>SUM(I41:I43)</f>
        <v>0</v>
      </c>
      <c r="J44" s="108">
        <f>SUMIF(A39:A43,"=1",J39:J43)</f>
        <v>0</v>
      </c>
    </row>
    <row r="46" spans="1:10" x14ac:dyDescent="0.25">
      <c r="A46" t="s">
        <v>53</v>
      </c>
      <c r="B46" t="s">
        <v>54</v>
      </c>
    </row>
    <row r="47" spans="1:10" x14ac:dyDescent="0.25">
      <c r="A47" t="s">
        <v>55</v>
      </c>
      <c r="B47" t="s">
        <v>56</v>
      </c>
    </row>
    <row r="48" spans="1:10" x14ac:dyDescent="0.25">
      <c r="A48" t="s">
        <v>57</v>
      </c>
      <c r="B48" t="s">
        <v>58</v>
      </c>
    </row>
    <row r="49" spans="1:10" x14ac:dyDescent="0.25">
      <c r="A49" t="s">
        <v>57</v>
      </c>
      <c r="B49" t="s">
        <v>59</v>
      </c>
    </row>
    <row r="50" spans="1:10" x14ac:dyDescent="0.25">
      <c r="A50" t="s">
        <v>57</v>
      </c>
      <c r="B50" t="s">
        <v>60</v>
      </c>
    </row>
    <row r="53" spans="1:10" ht="15.6" x14ac:dyDescent="0.3">
      <c r="B53" s="117" t="s">
        <v>61</v>
      </c>
    </row>
    <row r="55" spans="1:10" ht="25.5" customHeight="1" x14ac:dyDescent="0.25">
      <c r="A55" s="119"/>
      <c r="B55" s="122" t="s">
        <v>18</v>
      </c>
      <c r="C55" s="122" t="s">
        <v>6</v>
      </c>
      <c r="D55" s="123"/>
      <c r="E55" s="123"/>
      <c r="F55" s="124" t="s">
        <v>62</v>
      </c>
      <c r="G55" s="124"/>
      <c r="H55" s="124"/>
      <c r="I55" s="124" t="s">
        <v>31</v>
      </c>
      <c r="J55" s="124" t="s">
        <v>0</v>
      </c>
    </row>
    <row r="56" spans="1:10" ht="36.75" customHeight="1" x14ac:dyDescent="0.25">
      <c r="A56" s="120"/>
      <c r="B56" s="125" t="s">
        <v>63</v>
      </c>
      <c r="C56" s="505" t="s">
        <v>64</v>
      </c>
      <c r="D56" s="506"/>
      <c r="E56" s="506"/>
      <c r="F56" s="134" t="s">
        <v>26</v>
      </c>
      <c r="G56" s="126"/>
      <c r="H56" s="126"/>
      <c r="I56" s="126">
        <f>'SO 12 D1.1 + D1.2 Pol'!G8</f>
        <v>0</v>
      </c>
      <c r="J56" s="131" t="str">
        <f>IF(I80=0,"",I56/I80*100)</f>
        <v/>
      </c>
    </row>
    <row r="57" spans="1:10" ht="36.75" customHeight="1" x14ac:dyDescent="0.25">
      <c r="A57" s="120"/>
      <c r="B57" s="125" t="s">
        <v>65</v>
      </c>
      <c r="C57" s="505" t="s">
        <v>66</v>
      </c>
      <c r="D57" s="506"/>
      <c r="E57" s="506"/>
      <c r="F57" s="134" t="s">
        <v>26</v>
      </c>
      <c r="G57" s="126"/>
      <c r="H57" s="126"/>
      <c r="I57" s="126">
        <f>'SO 12 D1.1 + D1.2 Pol'!G22</f>
        <v>0</v>
      </c>
      <c r="J57" s="131" t="str">
        <f>IF(I80=0,"",I57/I80*100)</f>
        <v/>
      </c>
    </row>
    <row r="58" spans="1:10" ht="36.75" customHeight="1" x14ac:dyDescent="0.25">
      <c r="A58" s="120"/>
      <c r="B58" s="125" t="s">
        <v>67</v>
      </c>
      <c r="C58" s="505" t="s">
        <v>68</v>
      </c>
      <c r="D58" s="506"/>
      <c r="E58" s="506"/>
      <c r="F58" s="134" t="s">
        <v>26</v>
      </c>
      <c r="G58" s="126"/>
      <c r="H58" s="126"/>
      <c r="I58" s="126">
        <f>'SO 12 D1.1 + D1.2 Pol'!G39</f>
        <v>0</v>
      </c>
      <c r="J58" s="131" t="str">
        <f>IF(I80=0,"",I58/I80*100)</f>
        <v/>
      </c>
    </row>
    <row r="59" spans="1:10" ht="36.75" customHeight="1" x14ac:dyDescent="0.25">
      <c r="A59" s="120"/>
      <c r="B59" s="125" t="s">
        <v>69</v>
      </c>
      <c r="C59" s="505" t="s">
        <v>70</v>
      </c>
      <c r="D59" s="506"/>
      <c r="E59" s="506"/>
      <c r="F59" s="134" t="s">
        <v>26</v>
      </c>
      <c r="G59" s="126"/>
      <c r="H59" s="126"/>
      <c r="I59" s="126">
        <f>'SO 12 D1.1 + D1.2 Pol'!G67</f>
        <v>0</v>
      </c>
      <c r="J59" s="131" t="str">
        <f>IF(I80=0,"",I59/I80*100)</f>
        <v/>
      </c>
    </row>
    <row r="60" spans="1:10" ht="36.75" customHeight="1" x14ac:dyDescent="0.25">
      <c r="A60" s="120"/>
      <c r="B60" s="125" t="s">
        <v>71</v>
      </c>
      <c r="C60" s="505" t="s">
        <v>72</v>
      </c>
      <c r="D60" s="506"/>
      <c r="E60" s="506"/>
      <c r="F60" s="134" t="s">
        <v>26</v>
      </c>
      <c r="G60" s="126"/>
      <c r="H60" s="126"/>
      <c r="I60" s="126">
        <f>'SO 12 D1.1 + D1.2 Pol'!G87</f>
        <v>0</v>
      </c>
      <c r="J60" s="131" t="str">
        <f>IF(I80=0,"",I60/I80*100)</f>
        <v/>
      </c>
    </row>
    <row r="61" spans="1:10" ht="36.75" customHeight="1" x14ac:dyDescent="0.25">
      <c r="A61" s="120"/>
      <c r="B61" s="125" t="s">
        <v>73</v>
      </c>
      <c r="C61" s="505" t="s">
        <v>74</v>
      </c>
      <c r="D61" s="506"/>
      <c r="E61" s="506"/>
      <c r="F61" s="134" t="s">
        <v>26</v>
      </c>
      <c r="G61" s="126"/>
      <c r="H61" s="126"/>
      <c r="I61" s="126">
        <f>'SO 12 D1.1 + D1.2 Pol'!G90</f>
        <v>0</v>
      </c>
      <c r="J61" s="131" t="str">
        <f>IF(I80=0,"",I61/I80*100)</f>
        <v/>
      </c>
    </row>
    <row r="62" spans="1:10" ht="36.75" customHeight="1" x14ac:dyDescent="0.25">
      <c r="A62" s="120"/>
      <c r="B62" s="125" t="s">
        <v>75</v>
      </c>
      <c r="C62" s="505" t="s">
        <v>76</v>
      </c>
      <c r="D62" s="506"/>
      <c r="E62" s="506"/>
      <c r="F62" s="134" t="s">
        <v>26</v>
      </c>
      <c r="G62" s="126"/>
      <c r="H62" s="126"/>
      <c r="I62" s="126">
        <f>'SO 12 D1.1 + D1.2 Pol'!G99</f>
        <v>0</v>
      </c>
      <c r="J62" s="131" t="str">
        <f>IF(I80=0,"",I62/I80*100)</f>
        <v/>
      </c>
    </row>
    <row r="63" spans="1:10" ht="36.75" customHeight="1" x14ac:dyDescent="0.25">
      <c r="A63" s="120"/>
      <c r="B63" s="125" t="s">
        <v>77</v>
      </c>
      <c r="C63" s="505" t="s">
        <v>78</v>
      </c>
      <c r="D63" s="506"/>
      <c r="E63" s="506"/>
      <c r="F63" s="134" t="s">
        <v>26</v>
      </c>
      <c r="G63" s="126"/>
      <c r="H63" s="126"/>
      <c r="I63" s="126">
        <f>'SO 12 D1.1 + D1.2 Pol'!G102</f>
        <v>0</v>
      </c>
      <c r="J63" s="131" t="str">
        <f>IF(I80=0,"",I63/I80*100)</f>
        <v/>
      </c>
    </row>
    <row r="64" spans="1:10" ht="36.75" customHeight="1" x14ac:dyDescent="0.25">
      <c r="A64" s="120"/>
      <c r="B64" s="125" t="s">
        <v>79</v>
      </c>
      <c r="C64" s="505" t="s">
        <v>80</v>
      </c>
      <c r="D64" s="506"/>
      <c r="E64" s="506"/>
      <c r="F64" s="134" t="s">
        <v>26</v>
      </c>
      <c r="G64" s="126"/>
      <c r="H64" s="126"/>
      <c r="I64" s="126">
        <f>'SO 12 D1.1 + D1.2 Pol'!G109</f>
        <v>0</v>
      </c>
      <c r="J64" s="131" t="str">
        <f>IF(I80=0,"",I64/I80*100)</f>
        <v/>
      </c>
    </row>
    <row r="65" spans="1:10" ht="36.75" customHeight="1" x14ac:dyDescent="0.25">
      <c r="A65" s="120"/>
      <c r="B65" s="125" t="s">
        <v>81</v>
      </c>
      <c r="C65" s="505" t="s">
        <v>82</v>
      </c>
      <c r="D65" s="506"/>
      <c r="E65" s="506"/>
      <c r="F65" s="134" t="s">
        <v>26</v>
      </c>
      <c r="G65" s="126"/>
      <c r="H65" s="126"/>
      <c r="I65" s="126">
        <f>'SO 12 D1.1 + D1.2 Pol'!G112</f>
        <v>0</v>
      </c>
      <c r="J65" s="131" t="str">
        <f>IF(I80=0,"",I65/I80*100)</f>
        <v/>
      </c>
    </row>
    <row r="66" spans="1:10" ht="36.75" customHeight="1" x14ac:dyDescent="0.25">
      <c r="A66" s="120"/>
      <c r="B66" s="125" t="s">
        <v>83</v>
      </c>
      <c r="C66" s="505" t="s">
        <v>84</v>
      </c>
      <c r="D66" s="506"/>
      <c r="E66" s="506"/>
      <c r="F66" s="134" t="s">
        <v>27</v>
      </c>
      <c r="G66" s="126"/>
      <c r="H66" s="126"/>
      <c r="I66" s="126">
        <f>'SO 12 D1.1 + D1.2 Pol'!G115</f>
        <v>0</v>
      </c>
      <c r="J66" s="131" t="str">
        <f>IF(I80=0,"",I66/I80*100)</f>
        <v/>
      </c>
    </row>
    <row r="67" spans="1:10" ht="36.75" customHeight="1" x14ac:dyDescent="0.25">
      <c r="A67" s="120"/>
      <c r="B67" s="125" t="s">
        <v>85</v>
      </c>
      <c r="C67" s="505" t="s">
        <v>86</v>
      </c>
      <c r="D67" s="506"/>
      <c r="E67" s="506"/>
      <c r="F67" s="134" t="s">
        <v>27</v>
      </c>
      <c r="G67" s="126"/>
      <c r="H67" s="126"/>
      <c r="I67" s="126">
        <f>'SO 12 D1.1 + D1.2 Pol'!G151</f>
        <v>0</v>
      </c>
      <c r="J67" s="131" t="str">
        <f>IF(I80=0,"",I67/I80*100)</f>
        <v/>
      </c>
    </row>
    <row r="68" spans="1:10" ht="36.75" customHeight="1" x14ac:dyDescent="0.25">
      <c r="A68" s="120"/>
      <c r="B68" s="125" t="s">
        <v>87</v>
      </c>
      <c r="C68" s="505" t="s">
        <v>88</v>
      </c>
      <c r="D68" s="506"/>
      <c r="E68" s="506"/>
      <c r="F68" s="134" t="s">
        <v>27</v>
      </c>
      <c r="G68" s="126"/>
      <c r="H68" s="126"/>
      <c r="I68" s="126">
        <f>'SO 12 D1.1 + D1.2 Pol'!G163</f>
        <v>0</v>
      </c>
      <c r="J68" s="131" t="str">
        <f>IF(I80=0,"",I68/I80*100)</f>
        <v/>
      </c>
    </row>
    <row r="69" spans="1:10" ht="36.75" customHeight="1" x14ac:dyDescent="0.25">
      <c r="A69" s="120"/>
      <c r="B69" s="125" t="s">
        <v>89</v>
      </c>
      <c r="C69" s="505" t="s">
        <v>1197</v>
      </c>
      <c r="D69" s="506"/>
      <c r="E69" s="506"/>
      <c r="F69" s="134" t="s">
        <v>27</v>
      </c>
      <c r="G69" s="126"/>
      <c r="H69" s="126"/>
      <c r="I69" s="126">
        <f>'SO 12 D1.1 + D1.2 Pol'!G179</f>
        <v>0</v>
      </c>
      <c r="J69" s="131" t="str">
        <f>IF(I80=0,"",I69/I80*100)</f>
        <v/>
      </c>
    </row>
    <row r="70" spans="1:10" ht="36.75" customHeight="1" x14ac:dyDescent="0.25">
      <c r="A70" s="120"/>
      <c r="B70" s="125" t="s">
        <v>91</v>
      </c>
      <c r="C70" s="505" t="s">
        <v>90</v>
      </c>
      <c r="D70" s="506"/>
      <c r="E70" s="506"/>
      <c r="F70" s="134" t="s">
        <v>27</v>
      </c>
      <c r="G70" s="126"/>
      <c r="H70" s="126"/>
      <c r="I70" s="126">
        <f>'SO 12 D1.1 + D1.2 Pol'!G185</f>
        <v>0</v>
      </c>
      <c r="J70" s="131" t="str">
        <f>IF(I80=0,"",I70/I80*100)</f>
        <v/>
      </c>
    </row>
    <row r="71" spans="1:10" ht="36.75" customHeight="1" x14ac:dyDescent="0.25">
      <c r="A71" s="120"/>
      <c r="B71" s="125" t="s">
        <v>92</v>
      </c>
      <c r="C71" s="505" t="s">
        <v>93</v>
      </c>
      <c r="D71" s="506"/>
      <c r="E71" s="506"/>
      <c r="F71" s="134" t="s">
        <v>27</v>
      </c>
      <c r="G71" s="126"/>
      <c r="H71" s="126"/>
      <c r="I71" s="126">
        <f>'SO 12 D1.1 + D1.2 Pol'!G193</f>
        <v>0</v>
      </c>
      <c r="J71" s="131" t="str">
        <f>IF(I80=0,"",I71/I80*100)</f>
        <v/>
      </c>
    </row>
    <row r="72" spans="1:10" ht="36.75" customHeight="1" x14ac:dyDescent="0.25">
      <c r="A72" s="120"/>
      <c r="B72" s="125" t="s">
        <v>94</v>
      </c>
      <c r="C72" s="505" t="s">
        <v>95</v>
      </c>
      <c r="D72" s="506"/>
      <c r="E72" s="506"/>
      <c r="F72" s="134" t="s">
        <v>27</v>
      </c>
      <c r="G72" s="126"/>
      <c r="H72" s="126"/>
      <c r="I72" s="126">
        <f>'SO 12 D1.1 + D1.2 Pol'!G205</f>
        <v>0</v>
      </c>
      <c r="J72" s="131" t="str">
        <f>IF(I80=0,"",I72/I80*100)</f>
        <v/>
      </c>
    </row>
    <row r="73" spans="1:10" ht="36.75" customHeight="1" x14ac:dyDescent="0.25">
      <c r="A73" s="120"/>
      <c r="B73" s="125" t="s">
        <v>96</v>
      </c>
      <c r="C73" s="505" t="s">
        <v>97</v>
      </c>
      <c r="D73" s="506"/>
      <c r="E73" s="506"/>
      <c r="F73" s="134" t="s">
        <v>27</v>
      </c>
      <c r="G73" s="126"/>
      <c r="H73" s="126"/>
      <c r="I73" s="126">
        <f>'SO 12 D1.1 + D1.2 Pol'!G223</f>
        <v>0</v>
      </c>
      <c r="J73" s="131" t="str">
        <f>IF(I80=0,"",I73/I80*100)</f>
        <v/>
      </c>
    </row>
    <row r="74" spans="1:10" ht="36.75" customHeight="1" x14ac:dyDescent="0.25">
      <c r="A74" s="120"/>
      <c r="B74" s="125" t="s">
        <v>98</v>
      </c>
      <c r="C74" s="505" t="s">
        <v>99</v>
      </c>
      <c r="D74" s="506"/>
      <c r="E74" s="506"/>
      <c r="F74" s="134" t="s">
        <v>27</v>
      </c>
      <c r="G74" s="126"/>
      <c r="H74" s="126"/>
      <c r="I74" s="126">
        <f>'SO 12 D1.1 + D1.2 Pol'!G239</f>
        <v>0</v>
      </c>
      <c r="J74" s="131" t="str">
        <f>IF(I80=0,"",I74/I80*100)</f>
        <v/>
      </c>
    </row>
    <row r="75" spans="1:10" ht="36.75" customHeight="1" x14ac:dyDescent="0.25">
      <c r="A75" s="120"/>
      <c r="B75" s="125" t="s">
        <v>100</v>
      </c>
      <c r="C75" s="505" t="s">
        <v>101</v>
      </c>
      <c r="D75" s="506"/>
      <c r="E75" s="506"/>
      <c r="F75" s="134" t="s">
        <v>27</v>
      </c>
      <c r="G75" s="126"/>
      <c r="H75" s="126"/>
      <c r="I75" s="126">
        <f>'SO 12 D1.1 + D1.2 Pol'!G256</f>
        <v>0</v>
      </c>
      <c r="J75" s="131" t="str">
        <f>IF(I80=0,"",I75/I80*100)</f>
        <v/>
      </c>
    </row>
    <row r="76" spans="1:10" ht="36.75" customHeight="1" x14ac:dyDescent="0.25">
      <c r="A76" s="120"/>
      <c r="B76" s="125" t="s">
        <v>102</v>
      </c>
      <c r="C76" s="505" t="s">
        <v>103</v>
      </c>
      <c r="D76" s="506"/>
      <c r="E76" s="506"/>
      <c r="F76" s="134" t="s">
        <v>27</v>
      </c>
      <c r="G76" s="126"/>
      <c r="H76" s="126"/>
      <c r="I76" s="126">
        <f>'SO 12 D1.1 + D1.2 Pol'!G278</f>
        <v>0</v>
      </c>
      <c r="J76" s="131" t="str">
        <f>IF(I80=0,"",I76/I80*100)</f>
        <v/>
      </c>
    </row>
    <row r="77" spans="1:10" ht="36.75" customHeight="1" x14ac:dyDescent="0.25">
      <c r="A77" s="120"/>
      <c r="B77" s="125" t="s">
        <v>104</v>
      </c>
      <c r="C77" s="505" t="s">
        <v>105</v>
      </c>
      <c r="D77" s="506"/>
      <c r="E77" s="506"/>
      <c r="F77" s="134" t="s">
        <v>27</v>
      </c>
      <c r="G77" s="126"/>
      <c r="H77" s="126"/>
      <c r="I77" s="126">
        <f>'SO 12 D1.1 + D1.2 Pol'!G289</f>
        <v>0</v>
      </c>
      <c r="J77" s="131" t="str">
        <f>IF(I80=0,"",I77/I80*100)</f>
        <v/>
      </c>
    </row>
    <row r="78" spans="1:10" ht="36.75" customHeight="1" x14ac:dyDescent="0.25">
      <c r="A78" s="120"/>
      <c r="B78" s="125" t="s">
        <v>106</v>
      </c>
      <c r="C78" s="505" t="s">
        <v>107</v>
      </c>
      <c r="D78" s="506"/>
      <c r="E78" s="506"/>
      <c r="F78" s="134" t="s">
        <v>27</v>
      </c>
      <c r="G78" s="126"/>
      <c r="H78" s="126"/>
      <c r="I78" s="126">
        <f>'SO 12 D 1.5 Pol'!G8</f>
        <v>0</v>
      </c>
      <c r="J78" s="131" t="str">
        <f>IF(I80=0,"",I78/I80*100)</f>
        <v/>
      </c>
    </row>
    <row r="79" spans="1:10" ht="36.75" customHeight="1" x14ac:dyDescent="0.25">
      <c r="A79" s="120"/>
      <c r="B79" s="125" t="s">
        <v>45</v>
      </c>
      <c r="C79" s="505" t="s">
        <v>46</v>
      </c>
      <c r="D79" s="506"/>
      <c r="E79" s="506"/>
      <c r="F79" s="134" t="s">
        <v>27</v>
      </c>
      <c r="G79" s="126"/>
      <c r="H79" s="126"/>
      <c r="I79" s="126">
        <f>'SO 12 D 1.4 Pol'!G8</f>
        <v>0</v>
      </c>
      <c r="J79" s="131" t="str">
        <f>IF(I80=0,"",I79/I80*100)</f>
        <v/>
      </c>
    </row>
    <row r="80" spans="1:10" ht="25.5" customHeight="1" x14ac:dyDescent="0.25">
      <c r="A80" s="121"/>
      <c r="B80" s="127" t="s">
        <v>1</v>
      </c>
      <c r="C80" s="128"/>
      <c r="D80" s="129"/>
      <c r="E80" s="129"/>
      <c r="F80" s="135"/>
      <c r="G80" s="130"/>
      <c r="H80" s="130"/>
      <c r="I80" s="130">
        <f>SUM(I56:I79)</f>
        <v>0</v>
      </c>
      <c r="J80" s="132">
        <f>SUM(J56:J79)</f>
        <v>0</v>
      </c>
    </row>
    <row r="81" spans="2:10" x14ac:dyDescent="0.25">
      <c r="F81" s="84"/>
      <c r="G81" s="84"/>
      <c r="H81" s="84"/>
      <c r="I81" s="84"/>
      <c r="J81" s="133"/>
    </row>
    <row r="82" spans="2:10" x14ac:dyDescent="0.25">
      <c r="B82" s="275" t="s">
        <v>1253</v>
      </c>
      <c r="C82" s="276"/>
      <c r="D82" s="277"/>
      <c r="E82" s="278"/>
      <c r="F82" s="275"/>
      <c r="G82" s="279"/>
      <c r="H82" s="279"/>
      <c r="I82" s="279"/>
      <c r="J82" s="280"/>
    </row>
    <row r="83" spans="2:10" ht="32.4" customHeight="1" x14ac:dyDescent="0.25">
      <c r="B83" s="540" t="s">
        <v>1258</v>
      </c>
      <c r="C83" s="540"/>
      <c r="D83" s="540"/>
      <c r="E83" s="540"/>
      <c r="F83" s="540"/>
      <c r="G83" s="540"/>
      <c r="H83" s="540"/>
      <c r="I83" s="540"/>
      <c r="J83" s="540"/>
    </row>
    <row r="84" spans="2:10" ht="25.2" customHeight="1" x14ac:dyDescent="0.3">
      <c r="B84" s="541" t="s">
        <v>1256</v>
      </c>
      <c r="C84" s="541"/>
      <c r="D84" s="541"/>
      <c r="E84" s="541"/>
      <c r="F84" s="541"/>
      <c r="G84" s="541"/>
      <c r="H84" s="541"/>
      <c r="I84" s="541"/>
      <c r="J84" s="541"/>
    </row>
    <row r="85" spans="2:10" ht="37.200000000000003" customHeight="1" x14ac:dyDescent="0.3">
      <c r="B85" s="541" t="s">
        <v>1254</v>
      </c>
      <c r="C85" s="541"/>
      <c r="D85" s="541"/>
      <c r="E85" s="541"/>
      <c r="F85" s="541"/>
      <c r="G85" s="541"/>
      <c r="H85" s="541"/>
      <c r="I85" s="541"/>
      <c r="J85" s="541"/>
    </row>
    <row r="86" spans="2:10" ht="13.95" customHeight="1" x14ac:dyDescent="0.3">
      <c r="B86" s="541" t="s">
        <v>1255</v>
      </c>
      <c r="C86" s="541"/>
      <c r="D86" s="541"/>
      <c r="E86" s="541"/>
      <c r="F86" s="541"/>
      <c r="G86" s="541"/>
      <c r="H86" s="541"/>
      <c r="I86" s="541"/>
      <c r="J86" s="541"/>
    </row>
  </sheetData>
  <sheetProtection algorithmName="SHA-512" hashValue="+Kv/TshhzTsMFbbri3OwxZrgDbDEjcQm0NZWexVWEgK1VL8ze+9pZDg63RpGfirjpiyvPVlHDZuvcipX4fh12g==" saltValue="9hDYxqGujaKQXYitD13yH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B83:J83"/>
    <mergeCell ref="B84:J84"/>
    <mergeCell ref="B85:J85"/>
    <mergeCell ref="B86:J86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I15:J15"/>
    <mergeCell ref="E21:F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21:H21"/>
    <mergeCell ref="C39:E39"/>
    <mergeCell ref="C40:E40"/>
    <mergeCell ref="C41:E41"/>
    <mergeCell ref="C42:E42"/>
    <mergeCell ref="C43:E43"/>
    <mergeCell ref="B44:E44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558" t="s">
        <v>7</v>
      </c>
      <c r="B1" s="558"/>
      <c r="C1" s="559"/>
      <c r="D1" s="558"/>
      <c r="E1" s="558"/>
      <c r="F1" s="558"/>
      <c r="G1" s="558"/>
    </row>
    <row r="2" spans="1:7" ht="24.9" customHeight="1" x14ac:dyDescent="0.25">
      <c r="A2" s="50" t="s">
        <v>8</v>
      </c>
      <c r="B2" s="49"/>
      <c r="C2" s="560"/>
      <c r="D2" s="560"/>
      <c r="E2" s="560"/>
      <c r="F2" s="560"/>
      <c r="G2" s="561"/>
    </row>
    <row r="3" spans="1:7" ht="24.9" customHeight="1" x14ac:dyDescent="0.25">
      <c r="A3" s="50" t="s">
        <v>9</v>
      </c>
      <c r="B3" s="49"/>
      <c r="C3" s="560"/>
      <c r="D3" s="560"/>
      <c r="E3" s="560"/>
      <c r="F3" s="560"/>
      <c r="G3" s="561"/>
    </row>
    <row r="4" spans="1:7" ht="24.9" customHeight="1" x14ac:dyDescent="0.25">
      <c r="A4" s="50" t="s">
        <v>10</v>
      </c>
      <c r="B4" s="49"/>
      <c r="C4" s="560"/>
      <c r="D4" s="560"/>
      <c r="E4" s="560"/>
      <c r="F4" s="560"/>
      <c r="G4" s="561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50"/>
  <sheetViews>
    <sheetView zoomScaleNormal="100" workbookViewId="0">
      <pane ySplit="7" topLeftCell="A8" activePane="bottomLeft" state="frozen"/>
      <selection pane="bottomLeft" activeCell="F9" sqref="F9:F10"/>
    </sheetView>
  </sheetViews>
  <sheetFormatPr defaultRowHeight="13.2" outlineLevelRow="3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27.33203125" customWidth="1"/>
    <col min="8" max="10" width="0" hidden="1" customWidth="1"/>
    <col min="11" max="11" width="13.88671875" hidden="1" customWidth="1"/>
    <col min="12" max="12" width="12.88671875" hidden="1" customWidth="1"/>
    <col min="13" max="13" width="18" hidden="1" customWidth="1"/>
    <col min="14" max="14" width="0.44140625" hidden="1" customWidth="1"/>
    <col min="15" max="15" width="10.44140625" style="255" hidden="1" customWidth="1"/>
    <col min="16" max="16" width="11.33203125" hidden="1" customWidth="1"/>
    <col min="17" max="17" width="13.33203125" hidden="1" customWidth="1"/>
    <col min="18" max="18" width="12.6640625" hidden="1" customWidth="1"/>
    <col min="19" max="19" width="16.109375" hidden="1" customWidth="1"/>
    <col min="20" max="20" width="8.44140625" hidden="1" customWidth="1"/>
    <col min="21" max="21" width="15.109375" hidden="1" customWidth="1"/>
    <col min="22" max="22" width="10.5546875" hidden="1" customWidth="1"/>
    <col min="23" max="23" width="10.44140625" hidden="1" customWidth="1"/>
    <col min="24" max="24" width="12.6640625" hidden="1" customWidth="1"/>
    <col min="25" max="25" width="18.109375" hidden="1" customWidth="1"/>
    <col min="26" max="26" width="7.6640625" customWidth="1"/>
    <col min="27" max="27" width="11.109375" customWidth="1"/>
    <col min="28" max="28" width="12.33203125" customWidth="1"/>
    <col min="29" max="29" width="15.88671875" customWidth="1"/>
    <col min="31" max="41" width="0" hidden="1" customWidth="1"/>
  </cols>
  <sheetData>
    <row r="1" spans="1:60" ht="15.75" customHeight="1" x14ac:dyDescent="0.3">
      <c r="A1" s="576" t="s">
        <v>7</v>
      </c>
      <c r="B1" s="576"/>
      <c r="C1" s="576"/>
      <c r="D1" s="576"/>
      <c r="E1" s="576"/>
      <c r="F1" s="576"/>
      <c r="G1" s="576"/>
      <c r="AG1" t="s">
        <v>110</v>
      </c>
    </row>
    <row r="2" spans="1:60" ht="25.2" customHeight="1" x14ac:dyDescent="0.25">
      <c r="A2" s="137" t="s">
        <v>8</v>
      </c>
      <c r="B2" s="49" t="s">
        <v>41</v>
      </c>
      <c r="C2" s="577" t="s">
        <v>42</v>
      </c>
      <c r="D2" s="578"/>
      <c r="E2" s="578"/>
      <c r="F2" s="578"/>
      <c r="G2" s="579"/>
      <c r="AG2" t="s">
        <v>111</v>
      </c>
    </row>
    <row r="3" spans="1:60" ht="25.2" customHeight="1" x14ac:dyDescent="0.25">
      <c r="A3" s="137" t="s">
        <v>9</v>
      </c>
      <c r="B3" s="49" t="s">
        <v>41</v>
      </c>
      <c r="C3" s="577" t="s">
        <v>44</v>
      </c>
      <c r="D3" s="578"/>
      <c r="E3" s="578"/>
      <c r="F3" s="578"/>
      <c r="G3" s="579"/>
      <c r="AC3" s="118" t="s">
        <v>111</v>
      </c>
      <c r="AG3" t="s">
        <v>112</v>
      </c>
    </row>
    <row r="4" spans="1:60" ht="25.2" customHeight="1" x14ac:dyDescent="0.25">
      <c r="A4" s="138" t="s">
        <v>10</v>
      </c>
      <c r="B4" s="139" t="s">
        <v>49</v>
      </c>
      <c r="C4" s="580" t="s">
        <v>50</v>
      </c>
      <c r="D4" s="581"/>
      <c r="E4" s="581"/>
      <c r="F4" s="581"/>
      <c r="G4" s="582"/>
      <c r="AG4" t="s">
        <v>113</v>
      </c>
    </row>
    <row r="5" spans="1:60" x14ac:dyDescent="0.25">
      <c r="D5" s="10"/>
    </row>
    <row r="6" spans="1:60" ht="35.4" customHeight="1" x14ac:dyDescent="0.25">
      <c r="A6" s="141" t="s">
        <v>114</v>
      </c>
      <c r="B6" s="143" t="s">
        <v>115</v>
      </c>
      <c r="C6" s="143" t="s">
        <v>116</v>
      </c>
      <c r="D6" s="142" t="s">
        <v>117</v>
      </c>
      <c r="E6" s="141" t="s">
        <v>118</v>
      </c>
      <c r="F6" s="140" t="s">
        <v>119</v>
      </c>
      <c r="G6" s="141" t="s">
        <v>31</v>
      </c>
      <c r="H6" s="144" t="s">
        <v>32</v>
      </c>
      <c r="I6" s="144" t="s">
        <v>120</v>
      </c>
      <c r="J6" s="144" t="s">
        <v>33</v>
      </c>
      <c r="K6" s="144" t="s">
        <v>121</v>
      </c>
      <c r="L6" s="144" t="s">
        <v>122</v>
      </c>
      <c r="M6" s="144" t="s">
        <v>123</v>
      </c>
      <c r="N6" s="144" t="s">
        <v>124</v>
      </c>
      <c r="O6" s="254" t="s">
        <v>125</v>
      </c>
      <c r="P6" s="144" t="s">
        <v>126</v>
      </c>
      <c r="Q6" s="144" t="s">
        <v>127</v>
      </c>
      <c r="R6" s="144" t="s">
        <v>128</v>
      </c>
      <c r="S6" s="144" t="s">
        <v>129</v>
      </c>
      <c r="T6" s="144" t="s">
        <v>130</v>
      </c>
      <c r="U6" s="144" t="s">
        <v>131</v>
      </c>
      <c r="V6" s="144" t="s">
        <v>132</v>
      </c>
      <c r="W6" s="144" t="s">
        <v>133</v>
      </c>
      <c r="X6" s="144" t="s">
        <v>134</v>
      </c>
      <c r="Y6" s="144" t="s">
        <v>135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253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59" t="s">
        <v>136</v>
      </c>
      <c r="B8" s="160" t="s">
        <v>63</v>
      </c>
      <c r="C8" s="178" t="s">
        <v>64</v>
      </c>
      <c r="D8" s="161"/>
      <c r="E8" s="162"/>
      <c r="F8" s="163"/>
      <c r="G8" s="164">
        <f>SUMIF(AG9:AG21,"&lt;&gt;NOR",G9:G21)</f>
        <v>0</v>
      </c>
      <c r="H8" s="158"/>
      <c r="I8" s="158">
        <f>SUM(I9:I21)</f>
        <v>0</v>
      </c>
      <c r="J8" s="158"/>
      <c r="K8" s="158">
        <f>SUM(K9:K21)</f>
        <v>179397.80000000002</v>
      </c>
      <c r="L8" s="158"/>
      <c r="M8" s="158">
        <f>SUM(M9:M21)</f>
        <v>0</v>
      </c>
      <c r="N8" s="157"/>
      <c r="O8" s="252">
        <f>SUM(O9:O21)</f>
        <v>0</v>
      </c>
      <c r="P8" s="157"/>
      <c r="Q8" s="157">
        <f>SUM(Q9:Q21)</f>
        <v>0</v>
      </c>
      <c r="R8" s="158"/>
      <c r="S8" s="158"/>
      <c r="T8" s="158"/>
      <c r="U8" s="158"/>
      <c r="V8" s="158">
        <f>SUM(V9:V21)</f>
        <v>126.58999999999999</v>
      </c>
      <c r="W8" s="158"/>
      <c r="X8" s="158"/>
      <c r="Y8" s="158"/>
      <c r="AG8" t="s">
        <v>137</v>
      </c>
    </row>
    <row r="9" spans="1:60" ht="20.399999999999999" outlineLevel="1" x14ac:dyDescent="0.25">
      <c r="A9" s="172">
        <v>1</v>
      </c>
      <c r="B9" s="173" t="s">
        <v>239</v>
      </c>
      <c r="C9" s="179" t="s">
        <v>240</v>
      </c>
      <c r="D9" s="174" t="s">
        <v>165</v>
      </c>
      <c r="E9" s="175">
        <f>9.5*15.85</f>
        <v>150.57499999999999</v>
      </c>
      <c r="F9" s="176"/>
      <c r="G9" s="177">
        <f>ROUND(E9*F9,2)</f>
        <v>0</v>
      </c>
      <c r="H9" s="156">
        <v>0</v>
      </c>
      <c r="I9" s="155">
        <f>ROUND(E9*H9,2)</f>
        <v>0</v>
      </c>
      <c r="J9" s="156">
        <v>125.5</v>
      </c>
      <c r="K9" s="155">
        <f>ROUND(E9*J9,2)</f>
        <v>18897.16</v>
      </c>
      <c r="L9" s="155">
        <v>21</v>
      </c>
      <c r="M9" s="155">
        <f>G9*(1+L9/100)</f>
        <v>0</v>
      </c>
      <c r="N9" s="154">
        <v>0</v>
      </c>
      <c r="O9" s="251">
        <f>ROUND(E9*N9,2)</f>
        <v>0</v>
      </c>
      <c r="P9" s="154">
        <v>0</v>
      </c>
      <c r="Q9" s="154">
        <f>ROUND(E9*P9,2)</f>
        <v>0</v>
      </c>
      <c r="R9" s="155"/>
      <c r="S9" s="155" t="s">
        <v>1198</v>
      </c>
      <c r="T9" s="155" t="s">
        <v>1198</v>
      </c>
      <c r="U9" s="155">
        <v>0.15</v>
      </c>
      <c r="V9" s="155">
        <f>ROUND(E9*U9,2)</f>
        <v>22.59</v>
      </c>
      <c r="W9" s="155"/>
      <c r="X9" s="155" t="s">
        <v>143</v>
      </c>
      <c r="Y9" s="155" t="s">
        <v>144</v>
      </c>
      <c r="Z9" s="145"/>
      <c r="AA9" s="145"/>
      <c r="AB9" s="145"/>
      <c r="AC9" s="145"/>
      <c r="AD9" s="145"/>
      <c r="AE9" s="145"/>
      <c r="AF9" s="145"/>
      <c r="AG9" s="145" t="s">
        <v>145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5">
      <c r="A10" s="166">
        <v>2</v>
      </c>
      <c r="B10" s="167" t="s">
        <v>1174</v>
      </c>
      <c r="C10" s="180" t="s">
        <v>1173</v>
      </c>
      <c r="D10" s="168" t="s">
        <v>241</v>
      </c>
      <c r="E10" s="169">
        <f>E11</f>
        <v>81.355837499999993</v>
      </c>
      <c r="F10" s="170"/>
      <c r="G10" s="171">
        <f>ROUND(E10*F10,2)</f>
        <v>0</v>
      </c>
      <c r="H10" s="156">
        <v>0</v>
      </c>
      <c r="I10" s="155">
        <f>ROUND(E10*H10,2)</f>
        <v>0</v>
      </c>
      <c r="J10" s="156">
        <v>140</v>
      </c>
      <c r="K10" s="155">
        <f>ROUND(E10*J10,2)</f>
        <v>11389.82</v>
      </c>
      <c r="L10" s="155">
        <v>21</v>
      </c>
      <c r="M10" s="155">
        <f>G10*(1+L10/100)</f>
        <v>0</v>
      </c>
      <c r="N10" s="154">
        <v>0</v>
      </c>
      <c r="O10" s="251">
        <f>ROUND(E10*N10,2)</f>
        <v>0</v>
      </c>
      <c r="P10" s="154">
        <v>0</v>
      </c>
      <c r="Q10" s="154">
        <f>ROUND(E10*P10,2)</f>
        <v>0</v>
      </c>
      <c r="R10" s="155"/>
      <c r="S10" s="155" t="s">
        <v>1198</v>
      </c>
      <c r="T10" s="155" t="s">
        <v>1198</v>
      </c>
      <c r="U10" s="155">
        <v>0.11</v>
      </c>
      <c r="V10" s="155">
        <f>ROUND(E10*U10,2)</f>
        <v>8.9499999999999993</v>
      </c>
      <c r="W10" s="155"/>
      <c r="X10" s="155" t="s">
        <v>143</v>
      </c>
      <c r="Y10" s="155" t="s">
        <v>144</v>
      </c>
      <c r="Z10" s="145"/>
      <c r="AA10" s="145"/>
      <c r="AB10" s="145"/>
      <c r="AC10" s="145"/>
      <c r="AD10" s="145"/>
      <c r="AE10" s="145"/>
      <c r="AF10" s="145"/>
      <c r="AG10" s="145" t="s">
        <v>145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2" x14ac:dyDescent="0.25">
      <c r="A11" s="152"/>
      <c r="B11" s="153"/>
      <c r="C11" s="186" t="s">
        <v>1172</v>
      </c>
      <c r="D11" s="184"/>
      <c r="E11" s="185">
        <f>0.595*8.85*15.45</f>
        <v>81.355837499999993</v>
      </c>
      <c r="F11" s="155"/>
      <c r="G11" s="155"/>
      <c r="H11" s="155"/>
      <c r="I11" s="155"/>
      <c r="J11" s="155"/>
      <c r="K11" s="155"/>
      <c r="L11" s="155"/>
      <c r="M11" s="155"/>
      <c r="N11" s="154"/>
      <c r="O11" s="251"/>
      <c r="P11" s="154"/>
      <c r="Q11" s="154"/>
      <c r="R11" s="155"/>
      <c r="S11" s="155"/>
      <c r="T11" s="155"/>
      <c r="U11" s="155"/>
      <c r="V11" s="155"/>
      <c r="W11" s="155"/>
      <c r="X11" s="155"/>
      <c r="Y11" s="155"/>
      <c r="Z11" s="145"/>
      <c r="AA11" s="145"/>
      <c r="AB11" s="145"/>
      <c r="AC11" s="145"/>
      <c r="AD11" s="145"/>
      <c r="AE11" s="145"/>
      <c r="AF11" s="145"/>
      <c r="AG11" s="145" t="s">
        <v>170</v>
      </c>
      <c r="AH11" s="145">
        <v>0</v>
      </c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5">
      <c r="A12" s="172">
        <v>3</v>
      </c>
      <c r="B12" s="173" t="s">
        <v>242</v>
      </c>
      <c r="C12" s="179" t="s">
        <v>243</v>
      </c>
      <c r="D12" s="174" t="s">
        <v>241</v>
      </c>
      <c r="E12" s="175">
        <f>E10</f>
        <v>81.355837499999993</v>
      </c>
      <c r="F12" s="176"/>
      <c r="G12" s="177">
        <f>ROUND(E12*F12,2)</f>
        <v>0</v>
      </c>
      <c r="H12" s="156">
        <v>0</v>
      </c>
      <c r="I12" s="155">
        <f>ROUND(E12*H12,2)</f>
        <v>0</v>
      </c>
      <c r="J12" s="156">
        <v>27.9</v>
      </c>
      <c r="K12" s="155">
        <f>ROUND(E12*J12,2)</f>
        <v>2269.83</v>
      </c>
      <c r="L12" s="155">
        <v>21</v>
      </c>
      <c r="M12" s="155">
        <f>G12*(1+L12/100)</f>
        <v>0</v>
      </c>
      <c r="N12" s="154">
        <v>0</v>
      </c>
      <c r="O12" s="251">
        <f>ROUND(E12*N12,2)</f>
        <v>0</v>
      </c>
      <c r="P12" s="154">
        <v>0</v>
      </c>
      <c r="Q12" s="154">
        <f>ROUND(E12*P12,2)</f>
        <v>0</v>
      </c>
      <c r="R12" s="155"/>
      <c r="S12" s="155" t="s">
        <v>1198</v>
      </c>
      <c r="T12" s="155" t="s">
        <v>166</v>
      </c>
      <c r="U12" s="155">
        <v>0.04</v>
      </c>
      <c r="V12" s="155">
        <f>ROUND(E12*U12,2)</f>
        <v>3.25</v>
      </c>
      <c r="W12" s="155"/>
      <c r="X12" s="155" t="s">
        <v>143</v>
      </c>
      <c r="Y12" s="155" t="s">
        <v>144</v>
      </c>
      <c r="Z12" s="145"/>
      <c r="AA12" s="145"/>
      <c r="AB12" s="145"/>
      <c r="AC12" s="145"/>
      <c r="AD12" s="145"/>
      <c r="AE12" s="145"/>
      <c r="AF12" s="145"/>
      <c r="AG12" s="145" t="s">
        <v>145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5">
      <c r="A13" s="166">
        <v>4</v>
      </c>
      <c r="B13" s="167" t="s">
        <v>1176</v>
      </c>
      <c r="C13" s="180" t="s">
        <v>1175</v>
      </c>
      <c r="D13" s="168" t="s">
        <v>241</v>
      </c>
      <c r="E13" s="169">
        <v>15.538</v>
      </c>
      <c r="F13" s="170"/>
      <c r="G13" s="171">
        <f>ROUND(E13*F13,2)</f>
        <v>0</v>
      </c>
      <c r="H13" s="156">
        <v>0</v>
      </c>
      <c r="I13" s="155">
        <f>ROUND(E13*H13,2)</f>
        <v>0</v>
      </c>
      <c r="J13" s="156">
        <v>563</v>
      </c>
      <c r="K13" s="155">
        <f>ROUND(E13*J13,2)</f>
        <v>8747.89</v>
      </c>
      <c r="L13" s="155">
        <v>21</v>
      </c>
      <c r="M13" s="155">
        <f>G13*(1+L13/100)</f>
        <v>0</v>
      </c>
      <c r="N13" s="154">
        <v>0</v>
      </c>
      <c r="O13" s="251">
        <f>ROUND(E13*N13,2)</f>
        <v>0</v>
      </c>
      <c r="P13" s="154">
        <v>0</v>
      </c>
      <c r="Q13" s="154">
        <f>ROUND(E13*P13,2)</f>
        <v>0</v>
      </c>
      <c r="R13" s="155"/>
      <c r="S13" s="155" t="s">
        <v>1198</v>
      </c>
      <c r="T13" s="155" t="s">
        <v>166</v>
      </c>
      <c r="U13" s="155">
        <v>1.1499999999999999</v>
      </c>
      <c r="V13" s="155">
        <f>ROUND(E13*U13,2)</f>
        <v>17.87</v>
      </c>
      <c r="W13" s="155"/>
      <c r="X13" s="155" t="s">
        <v>143</v>
      </c>
      <c r="Y13" s="155" t="s">
        <v>144</v>
      </c>
      <c r="Z13" s="145"/>
      <c r="AA13" s="145"/>
      <c r="AB13" s="145"/>
      <c r="AC13" s="145"/>
      <c r="AD13" s="145"/>
      <c r="AE13" s="145"/>
      <c r="AF13" s="145"/>
      <c r="AG13" s="145" t="s">
        <v>145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2" x14ac:dyDescent="0.25">
      <c r="A14" s="152"/>
      <c r="B14" s="153"/>
      <c r="C14" s="186" t="s">
        <v>1177</v>
      </c>
      <c r="D14" s="184"/>
      <c r="E14" s="185">
        <v>15.538</v>
      </c>
      <c r="F14" s="155"/>
      <c r="G14" s="177"/>
      <c r="H14" s="155"/>
      <c r="I14" s="155"/>
      <c r="J14" s="155"/>
      <c r="K14" s="155"/>
      <c r="L14" s="155"/>
      <c r="M14" s="155"/>
      <c r="N14" s="154"/>
      <c r="O14" s="251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5"/>
      <c r="AA14" s="145"/>
      <c r="AB14" s="145"/>
      <c r="AC14" s="145"/>
      <c r="AD14" s="145"/>
      <c r="AE14" s="145"/>
      <c r="AF14" s="145"/>
      <c r="AG14" s="145" t="s">
        <v>170</v>
      </c>
      <c r="AH14" s="145">
        <v>5</v>
      </c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2" x14ac:dyDescent="0.25">
      <c r="A15" s="239">
        <v>5</v>
      </c>
      <c r="B15" s="240" t="s">
        <v>779</v>
      </c>
      <c r="C15" s="241" t="s">
        <v>780</v>
      </c>
      <c r="D15" s="242" t="s">
        <v>241</v>
      </c>
      <c r="E15" s="243">
        <v>15.538</v>
      </c>
      <c r="F15" s="244"/>
      <c r="G15" s="245">
        <f t="shared" ref="G15" si="0">ROUND(E15*F15,2)</f>
        <v>0</v>
      </c>
      <c r="H15" s="155"/>
      <c r="I15" s="155"/>
      <c r="J15" s="155"/>
      <c r="K15" s="155"/>
      <c r="L15" s="155"/>
      <c r="M15" s="155"/>
      <c r="N15" s="154"/>
      <c r="O15" s="251"/>
      <c r="P15" s="154"/>
      <c r="Q15" s="154"/>
      <c r="R15" s="155"/>
      <c r="S15" s="155" t="s">
        <v>1198</v>
      </c>
      <c r="T15" s="155" t="s">
        <v>166</v>
      </c>
      <c r="U15" s="155"/>
      <c r="V15" s="155"/>
      <c r="W15" s="155"/>
      <c r="X15" s="155"/>
      <c r="Y15" s="15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5">
      <c r="A16" s="172">
        <v>6</v>
      </c>
      <c r="B16" s="173" t="s">
        <v>246</v>
      </c>
      <c r="C16" s="179" t="s">
        <v>247</v>
      </c>
      <c r="D16" s="174" t="s">
        <v>241</v>
      </c>
      <c r="E16" s="175">
        <v>96.893839999999997</v>
      </c>
      <c r="F16" s="176"/>
      <c r="G16" s="177">
        <f t="shared" ref="G16:G21" si="1">ROUND(E16*F16,2)</f>
        <v>0</v>
      </c>
      <c r="H16" s="156">
        <v>0</v>
      </c>
      <c r="I16" s="155">
        <f t="shared" ref="I16:I21" si="2">ROUND(E16*H16,2)</f>
        <v>0</v>
      </c>
      <c r="J16" s="156">
        <v>49.4</v>
      </c>
      <c r="K16" s="155">
        <f t="shared" ref="K16:K21" si="3">ROUND(E16*J16,2)</f>
        <v>4786.5600000000004</v>
      </c>
      <c r="L16" s="155">
        <v>21</v>
      </c>
      <c r="M16" s="155">
        <f t="shared" ref="M16:M21" si="4">G16*(1+L16/100)</f>
        <v>0</v>
      </c>
      <c r="N16" s="154">
        <v>0</v>
      </c>
      <c r="O16" s="251">
        <f t="shared" ref="O16:O21" si="5">ROUND(E16*N16,2)</f>
        <v>0</v>
      </c>
      <c r="P16" s="154">
        <v>0</v>
      </c>
      <c r="Q16" s="154">
        <f t="shared" ref="Q16:Q21" si="6">ROUND(E16*P16,2)</f>
        <v>0</v>
      </c>
      <c r="R16" s="155"/>
      <c r="S16" s="155" t="s">
        <v>1198</v>
      </c>
      <c r="T16" s="155" t="s">
        <v>166</v>
      </c>
      <c r="U16" s="155">
        <v>0.09</v>
      </c>
      <c r="V16" s="155">
        <f t="shared" ref="V16:V21" si="7">ROUND(E16*U16,2)</f>
        <v>8.7200000000000006</v>
      </c>
      <c r="W16" s="155"/>
      <c r="X16" s="155" t="s">
        <v>143</v>
      </c>
      <c r="Y16" s="155" t="s">
        <v>144</v>
      </c>
      <c r="Z16" s="145"/>
      <c r="AA16" s="145"/>
      <c r="AB16" s="145"/>
      <c r="AC16" s="145"/>
      <c r="AD16" s="145"/>
      <c r="AE16" s="145"/>
      <c r="AF16" s="145"/>
      <c r="AG16" s="145" t="s">
        <v>145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5">
      <c r="A17" s="166">
        <v>7</v>
      </c>
      <c r="B17" s="167" t="s">
        <v>248</v>
      </c>
      <c r="C17" s="180" t="s">
        <v>249</v>
      </c>
      <c r="D17" s="168" t="s">
        <v>241</v>
      </c>
      <c r="E17" s="169">
        <v>96.893839999999997</v>
      </c>
      <c r="F17" s="170"/>
      <c r="G17" s="171">
        <f t="shared" si="1"/>
        <v>0</v>
      </c>
      <c r="H17" s="156">
        <v>0</v>
      </c>
      <c r="I17" s="155">
        <f t="shared" si="2"/>
        <v>0</v>
      </c>
      <c r="J17" s="156">
        <v>308</v>
      </c>
      <c r="K17" s="155">
        <f t="shared" si="3"/>
        <v>29843.3</v>
      </c>
      <c r="L17" s="155">
        <v>21</v>
      </c>
      <c r="M17" s="155">
        <f t="shared" si="4"/>
        <v>0</v>
      </c>
      <c r="N17" s="154">
        <v>0</v>
      </c>
      <c r="O17" s="251">
        <f t="shared" si="5"/>
        <v>0</v>
      </c>
      <c r="P17" s="154">
        <v>0</v>
      </c>
      <c r="Q17" s="154">
        <f t="shared" si="6"/>
        <v>0</v>
      </c>
      <c r="R17" s="155"/>
      <c r="S17" s="155" t="s">
        <v>1198</v>
      </c>
      <c r="T17" s="155" t="s">
        <v>166</v>
      </c>
      <c r="U17" s="155">
        <v>0.65200000000000002</v>
      </c>
      <c r="V17" s="155">
        <f t="shared" si="7"/>
        <v>63.17</v>
      </c>
      <c r="W17" s="155"/>
      <c r="X17" s="155" t="s">
        <v>143</v>
      </c>
      <c r="Y17" s="155" t="s">
        <v>144</v>
      </c>
      <c r="Z17" s="145"/>
      <c r="AA17" s="145"/>
      <c r="AB17" s="145"/>
      <c r="AC17" s="145"/>
      <c r="AD17" s="145"/>
      <c r="AE17" s="145"/>
      <c r="AF17" s="145"/>
      <c r="AG17" s="145" t="s">
        <v>145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5">
      <c r="A18" s="172">
        <v>8</v>
      </c>
      <c r="B18" s="173" t="s">
        <v>250</v>
      </c>
      <c r="C18" s="179" t="s">
        <v>251</v>
      </c>
      <c r="D18" s="174" t="s">
        <v>241</v>
      </c>
      <c r="E18" s="175">
        <v>96.893839999999997</v>
      </c>
      <c r="F18" s="176"/>
      <c r="G18" s="177">
        <f t="shared" si="1"/>
        <v>0</v>
      </c>
      <c r="H18" s="156">
        <v>0</v>
      </c>
      <c r="I18" s="155">
        <f t="shared" si="2"/>
        <v>0</v>
      </c>
      <c r="J18" s="156">
        <v>296.5</v>
      </c>
      <c r="K18" s="155">
        <f t="shared" si="3"/>
        <v>28729.02</v>
      </c>
      <c r="L18" s="155">
        <v>21</v>
      </c>
      <c r="M18" s="155">
        <f t="shared" si="4"/>
        <v>0</v>
      </c>
      <c r="N18" s="154">
        <v>0</v>
      </c>
      <c r="O18" s="251">
        <f t="shared" si="5"/>
        <v>0</v>
      </c>
      <c r="P18" s="154">
        <v>0</v>
      </c>
      <c r="Q18" s="154">
        <f t="shared" si="6"/>
        <v>0</v>
      </c>
      <c r="R18" s="155"/>
      <c r="S18" s="155" t="s">
        <v>1198</v>
      </c>
      <c r="T18" s="155" t="s">
        <v>166</v>
      </c>
      <c r="U18" s="155">
        <v>1.0999999999999999E-2</v>
      </c>
      <c r="V18" s="155">
        <f t="shared" si="7"/>
        <v>1.07</v>
      </c>
      <c r="W18" s="155"/>
      <c r="X18" s="155" t="s">
        <v>143</v>
      </c>
      <c r="Y18" s="155" t="s">
        <v>144</v>
      </c>
      <c r="Z18" s="145"/>
      <c r="AA18" s="145"/>
      <c r="AB18" s="145"/>
      <c r="AC18" s="145"/>
      <c r="AD18" s="145"/>
      <c r="AE18" s="145"/>
      <c r="AF18" s="145"/>
      <c r="AG18" s="145" t="s">
        <v>145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5">
      <c r="A19" s="172">
        <v>9</v>
      </c>
      <c r="B19" s="173" t="s">
        <v>252</v>
      </c>
      <c r="C19" s="179" t="s">
        <v>253</v>
      </c>
      <c r="D19" s="174" t="s">
        <v>241</v>
      </c>
      <c r="E19" s="175">
        <v>968.9384</v>
      </c>
      <c r="F19" s="176"/>
      <c r="G19" s="177">
        <f t="shared" si="1"/>
        <v>0</v>
      </c>
      <c r="H19" s="156">
        <v>0</v>
      </c>
      <c r="I19" s="155">
        <f t="shared" si="2"/>
        <v>0</v>
      </c>
      <c r="J19" s="156">
        <v>23.9</v>
      </c>
      <c r="K19" s="155">
        <f t="shared" si="3"/>
        <v>23157.63</v>
      </c>
      <c r="L19" s="155">
        <v>21</v>
      </c>
      <c r="M19" s="155">
        <f t="shared" si="4"/>
        <v>0</v>
      </c>
      <c r="N19" s="154">
        <v>0</v>
      </c>
      <c r="O19" s="251">
        <f t="shared" si="5"/>
        <v>0</v>
      </c>
      <c r="P19" s="154">
        <v>0</v>
      </c>
      <c r="Q19" s="154">
        <f t="shared" si="6"/>
        <v>0</v>
      </c>
      <c r="R19" s="155"/>
      <c r="S19" s="155" t="s">
        <v>1198</v>
      </c>
      <c r="T19" s="155" t="s">
        <v>166</v>
      </c>
      <c r="U19" s="155">
        <v>0</v>
      </c>
      <c r="V19" s="155">
        <f t="shared" si="7"/>
        <v>0</v>
      </c>
      <c r="W19" s="155"/>
      <c r="X19" s="155" t="s">
        <v>143</v>
      </c>
      <c r="Y19" s="155" t="s">
        <v>144</v>
      </c>
      <c r="Z19" s="145"/>
      <c r="AA19" s="145"/>
      <c r="AB19" s="145"/>
      <c r="AC19" s="145"/>
      <c r="AD19" s="145"/>
      <c r="AE19" s="145"/>
      <c r="AF19" s="145"/>
      <c r="AG19" s="145" t="s">
        <v>145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5">
      <c r="A20" s="172">
        <v>10</v>
      </c>
      <c r="B20" s="173" t="s">
        <v>254</v>
      </c>
      <c r="C20" s="179" t="s">
        <v>255</v>
      </c>
      <c r="D20" s="174" t="s">
        <v>241</v>
      </c>
      <c r="E20" s="175">
        <v>96.893839999999997</v>
      </c>
      <c r="F20" s="176"/>
      <c r="G20" s="177">
        <f t="shared" si="1"/>
        <v>0</v>
      </c>
      <c r="H20" s="156">
        <v>0</v>
      </c>
      <c r="I20" s="155">
        <f t="shared" si="2"/>
        <v>0</v>
      </c>
      <c r="J20" s="156">
        <v>19.3</v>
      </c>
      <c r="K20" s="155">
        <f t="shared" si="3"/>
        <v>1870.05</v>
      </c>
      <c r="L20" s="155">
        <v>21</v>
      </c>
      <c r="M20" s="155">
        <f t="shared" si="4"/>
        <v>0</v>
      </c>
      <c r="N20" s="154">
        <v>0</v>
      </c>
      <c r="O20" s="251">
        <f t="shared" si="5"/>
        <v>0</v>
      </c>
      <c r="P20" s="154">
        <v>0</v>
      </c>
      <c r="Q20" s="154">
        <f t="shared" si="6"/>
        <v>0</v>
      </c>
      <c r="R20" s="155"/>
      <c r="S20" s="155" t="s">
        <v>1198</v>
      </c>
      <c r="T20" s="155" t="s">
        <v>166</v>
      </c>
      <c r="U20" s="155">
        <v>0.01</v>
      </c>
      <c r="V20" s="155">
        <f t="shared" si="7"/>
        <v>0.97</v>
      </c>
      <c r="W20" s="155"/>
      <c r="X20" s="155" t="s">
        <v>143</v>
      </c>
      <c r="Y20" s="155" t="s">
        <v>144</v>
      </c>
      <c r="Z20" s="145"/>
      <c r="AA20" s="145"/>
      <c r="AB20" s="145"/>
      <c r="AC20" s="145"/>
      <c r="AD20" s="145"/>
      <c r="AE20" s="145"/>
      <c r="AF20" s="145"/>
      <c r="AG20" s="145" t="s">
        <v>145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5">
      <c r="A21" s="172">
        <v>11</v>
      </c>
      <c r="B21" s="173" t="s">
        <v>256</v>
      </c>
      <c r="C21" s="179" t="s">
        <v>257</v>
      </c>
      <c r="D21" s="174" t="s">
        <v>241</v>
      </c>
      <c r="E21" s="175">
        <v>96.893839999999997</v>
      </c>
      <c r="F21" s="176"/>
      <c r="G21" s="177">
        <f t="shared" si="1"/>
        <v>0</v>
      </c>
      <c r="H21" s="156">
        <v>0</v>
      </c>
      <c r="I21" s="155">
        <f t="shared" si="2"/>
        <v>0</v>
      </c>
      <c r="J21" s="156">
        <v>513</v>
      </c>
      <c r="K21" s="155">
        <f t="shared" si="3"/>
        <v>49706.54</v>
      </c>
      <c r="L21" s="155">
        <v>21</v>
      </c>
      <c r="M21" s="155">
        <f t="shared" si="4"/>
        <v>0</v>
      </c>
      <c r="N21" s="154">
        <v>0</v>
      </c>
      <c r="O21" s="251">
        <f t="shared" si="5"/>
        <v>0</v>
      </c>
      <c r="P21" s="154">
        <v>0</v>
      </c>
      <c r="Q21" s="154">
        <f t="shared" si="6"/>
        <v>0</v>
      </c>
      <c r="R21" s="155"/>
      <c r="S21" s="155" t="s">
        <v>1198</v>
      </c>
      <c r="T21" s="155" t="s">
        <v>166</v>
      </c>
      <c r="U21" s="155">
        <v>0</v>
      </c>
      <c r="V21" s="155">
        <f t="shared" si="7"/>
        <v>0</v>
      </c>
      <c r="W21" s="155"/>
      <c r="X21" s="155" t="s">
        <v>143</v>
      </c>
      <c r="Y21" s="155" t="s">
        <v>144</v>
      </c>
      <c r="Z21" s="145"/>
      <c r="AA21" s="145"/>
      <c r="AB21" s="145"/>
      <c r="AC21" s="145"/>
      <c r="AD21" s="145"/>
      <c r="AE21" s="145"/>
      <c r="AF21" s="145"/>
      <c r="AG21" s="145" t="s">
        <v>145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x14ac:dyDescent="0.25">
      <c r="A22" s="159" t="s">
        <v>136</v>
      </c>
      <c r="B22" s="160" t="s">
        <v>65</v>
      </c>
      <c r="C22" s="178" t="s">
        <v>66</v>
      </c>
      <c r="D22" s="161"/>
      <c r="E22" s="162"/>
      <c r="F22" s="163"/>
      <c r="G22" s="164">
        <f>SUMIF(AG23:AG38,"&lt;&gt;NOR",G23:G38)</f>
        <v>0</v>
      </c>
      <c r="H22" s="158"/>
      <c r="I22" s="158">
        <f>SUM(I23:I38)</f>
        <v>346595.11999999994</v>
      </c>
      <c r="J22" s="158"/>
      <c r="K22" s="158">
        <f>SUM(K23:K38)</f>
        <v>79247.789999999994</v>
      </c>
      <c r="L22" s="158"/>
      <c r="M22" s="158">
        <f>SUM(M23:M38)</f>
        <v>0</v>
      </c>
      <c r="N22" s="157"/>
      <c r="O22" s="252">
        <f>SUM(O23:O38)</f>
        <v>152.71365374999999</v>
      </c>
      <c r="P22" s="157"/>
      <c r="Q22" s="157">
        <f>SUM(Q23:Q38)</f>
        <v>0</v>
      </c>
      <c r="R22" s="158"/>
      <c r="S22" s="158"/>
      <c r="T22" s="158"/>
      <c r="U22" s="158"/>
      <c r="V22" s="158">
        <f>SUM(V23:V38)</f>
        <v>139.91</v>
      </c>
      <c r="W22" s="158"/>
      <c r="X22" s="158"/>
      <c r="Y22" s="158"/>
      <c r="AG22" t="s">
        <v>137</v>
      </c>
    </row>
    <row r="23" spans="1:60" outlineLevel="1" x14ac:dyDescent="0.25">
      <c r="A23" s="166">
        <v>12</v>
      </c>
      <c r="B23" s="167" t="s">
        <v>258</v>
      </c>
      <c r="C23" s="180" t="s">
        <v>259</v>
      </c>
      <c r="D23" s="168" t="s">
        <v>241</v>
      </c>
      <c r="E23" s="169">
        <v>30.23115</v>
      </c>
      <c r="F23" s="170"/>
      <c r="G23" s="171">
        <f>ROUND(E23*F23,2)</f>
        <v>0</v>
      </c>
      <c r="H23" s="156">
        <v>3112.7</v>
      </c>
      <c r="I23" s="155">
        <f>ROUND(E23*H23,2)</f>
        <v>94100.5</v>
      </c>
      <c r="J23" s="156">
        <v>322.3</v>
      </c>
      <c r="K23" s="155">
        <f>ROUND(E23*J23,2)</f>
        <v>9743.5</v>
      </c>
      <c r="L23" s="155">
        <v>21</v>
      </c>
      <c r="M23" s="155">
        <f>G23*(1+L23/100)</f>
        <v>0</v>
      </c>
      <c r="N23" s="154">
        <v>2.5249999999999999</v>
      </c>
      <c r="O23" s="251">
        <f>N23*E23</f>
        <v>76.333653749999996</v>
      </c>
      <c r="P23" s="154">
        <v>0</v>
      </c>
      <c r="Q23" s="154">
        <f>ROUND(E23*P23,2)</f>
        <v>0</v>
      </c>
      <c r="R23" s="155"/>
      <c r="S23" s="155" t="s">
        <v>1198</v>
      </c>
      <c r="T23" s="155" t="s">
        <v>1198</v>
      </c>
      <c r="U23" s="155">
        <v>0.48</v>
      </c>
      <c r="V23" s="155">
        <f>ROUND(E23*U23,2)</f>
        <v>14.51</v>
      </c>
      <c r="W23" s="155"/>
      <c r="X23" s="155" t="s">
        <v>143</v>
      </c>
      <c r="Y23" s="155" t="s">
        <v>144</v>
      </c>
      <c r="Z23" s="145"/>
      <c r="AA23" s="145"/>
      <c r="AB23" s="145"/>
      <c r="AC23" s="145"/>
      <c r="AD23" s="145"/>
      <c r="AE23" s="145"/>
      <c r="AF23" s="145"/>
      <c r="AG23" s="145" t="s">
        <v>145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2" x14ac:dyDescent="0.25">
      <c r="A24" s="152"/>
      <c r="B24" s="153"/>
      <c r="C24" s="186" t="s">
        <v>1179</v>
      </c>
      <c r="D24" s="184"/>
      <c r="E24" s="185">
        <v>30.081150000000001</v>
      </c>
      <c r="F24" s="155"/>
      <c r="G24" s="155"/>
      <c r="H24" s="155"/>
      <c r="I24" s="155"/>
      <c r="J24" s="155"/>
      <c r="K24" s="155"/>
      <c r="L24" s="155"/>
      <c r="M24" s="155"/>
      <c r="N24" s="154"/>
      <c r="O24" s="251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45"/>
      <c r="AA24" s="145"/>
      <c r="AB24" s="145"/>
      <c r="AC24" s="145"/>
      <c r="AD24" s="145"/>
      <c r="AE24" s="145"/>
      <c r="AF24" s="145"/>
      <c r="AG24" s="145" t="s">
        <v>170</v>
      </c>
      <c r="AH24" s="145">
        <v>0</v>
      </c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2" x14ac:dyDescent="0.25">
      <c r="A25" s="152"/>
      <c r="B25" s="153" t="s">
        <v>1183</v>
      </c>
      <c r="C25" s="186" t="s">
        <v>1184</v>
      </c>
      <c r="D25" s="184"/>
      <c r="E25" s="185">
        <f>1*1*0.15</f>
        <v>0.15</v>
      </c>
      <c r="F25" s="155"/>
      <c r="G25" s="155"/>
      <c r="H25" s="155"/>
      <c r="I25" s="155"/>
      <c r="J25" s="155"/>
      <c r="K25" s="155"/>
      <c r="L25" s="155"/>
      <c r="M25" s="155"/>
      <c r="N25" s="154"/>
      <c r="O25" s="251"/>
      <c r="P25" s="154"/>
      <c r="Q25" s="154"/>
      <c r="R25" s="155"/>
      <c r="S25" s="155"/>
      <c r="T25" s="155"/>
      <c r="U25" s="155"/>
      <c r="V25" s="155"/>
      <c r="W25" s="155"/>
      <c r="X25" s="155"/>
      <c r="Y25" s="15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5">
      <c r="A26" s="166">
        <v>13</v>
      </c>
      <c r="B26" s="167" t="s">
        <v>260</v>
      </c>
      <c r="C26" s="180" t="s">
        <v>261</v>
      </c>
      <c r="D26" s="168" t="s">
        <v>165</v>
      </c>
      <c r="E26" s="169">
        <v>10.692</v>
      </c>
      <c r="F26" s="170"/>
      <c r="G26" s="171">
        <f>ROUND(E26*F26,2)</f>
        <v>0</v>
      </c>
      <c r="H26" s="156">
        <v>245.94</v>
      </c>
      <c r="I26" s="155">
        <f>ROUND(E26*H26,2)</f>
        <v>2629.59</v>
      </c>
      <c r="J26" s="156">
        <v>712.06</v>
      </c>
      <c r="K26" s="155">
        <f>ROUND(E26*J26,2)</f>
        <v>7613.35</v>
      </c>
      <c r="L26" s="155">
        <v>21</v>
      </c>
      <c r="M26" s="155">
        <f>G26*(1+L26/100)</f>
        <v>0</v>
      </c>
      <c r="N26" s="154">
        <v>3.9199999999999999E-2</v>
      </c>
      <c r="O26" s="251">
        <f>ROUND(E26*N26,2)</f>
        <v>0.42</v>
      </c>
      <c r="P26" s="154">
        <v>0</v>
      </c>
      <c r="Q26" s="154">
        <f>ROUND(E26*P26,2)</f>
        <v>0</v>
      </c>
      <c r="R26" s="155"/>
      <c r="S26" s="155" t="s">
        <v>1198</v>
      </c>
      <c r="T26" s="155" t="s">
        <v>1198</v>
      </c>
      <c r="U26" s="155">
        <v>1.6</v>
      </c>
      <c r="V26" s="155">
        <f>ROUND(E26*U26,2)</f>
        <v>17.11</v>
      </c>
      <c r="W26" s="155"/>
      <c r="X26" s="155" t="s">
        <v>143</v>
      </c>
      <c r="Y26" s="155" t="s">
        <v>144</v>
      </c>
      <c r="Z26" s="145"/>
      <c r="AA26" s="145"/>
      <c r="AB26" s="145"/>
      <c r="AC26" s="145"/>
      <c r="AD26" s="145"/>
      <c r="AE26" s="145"/>
      <c r="AF26" s="145"/>
      <c r="AG26" s="145" t="s">
        <v>145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2" x14ac:dyDescent="0.25">
      <c r="A27" s="152"/>
      <c r="B27" s="153"/>
      <c r="C27" s="186" t="s">
        <v>1180</v>
      </c>
      <c r="D27" s="184"/>
      <c r="E27" s="185">
        <v>10.692</v>
      </c>
      <c r="F27" s="155"/>
      <c r="G27" s="155"/>
      <c r="H27" s="155"/>
      <c r="I27" s="155"/>
      <c r="J27" s="155"/>
      <c r="K27" s="155"/>
      <c r="L27" s="155"/>
      <c r="M27" s="155"/>
      <c r="N27" s="154"/>
      <c r="O27" s="251"/>
      <c r="P27" s="154"/>
      <c r="Q27" s="154"/>
      <c r="R27" s="155"/>
      <c r="S27" s="155"/>
      <c r="T27" s="155"/>
      <c r="U27" s="155"/>
      <c r="V27" s="155"/>
      <c r="W27" s="155"/>
      <c r="X27" s="155"/>
      <c r="Y27" s="155"/>
      <c r="Z27" s="145"/>
      <c r="AA27" s="145"/>
      <c r="AB27" s="145"/>
      <c r="AC27" s="145"/>
      <c r="AD27" s="145"/>
      <c r="AE27" s="145"/>
      <c r="AF27" s="145"/>
      <c r="AG27" s="145" t="s">
        <v>170</v>
      </c>
      <c r="AH27" s="145">
        <v>0</v>
      </c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5">
      <c r="A28" s="166">
        <v>14</v>
      </c>
      <c r="B28" s="167" t="s">
        <v>262</v>
      </c>
      <c r="C28" s="180" t="s">
        <v>263</v>
      </c>
      <c r="D28" s="168" t="s">
        <v>165</v>
      </c>
      <c r="E28" s="169">
        <v>10.692</v>
      </c>
      <c r="F28" s="170"/>
      <c r="G28" s="171">
        <f>ROUND(E28*F28,2)</f>
        <v>0</v>
      </c>
      <c r="H28" s="156">
        <v>0</v>
      </c>
      <c r="I28" s="155">
        <f>ROUND(E28*H28,2)</f>
        <v>0</v>
      </c>
      <c r="J28" s="156">
        <v>143.5</v>
      </c>
      <c r="K28" s="155">
        <f>ROUND(E28*J28,2)</f>
        <v>1534.3</v>
      </c>
      <c r="L28" s="155">
        <v>21</v>
      </c>
      <c r="M28" s="155">
        <f>G28*(1+L28/100)</f>
        <v>0</v>
      </c>
      <c r="N28" s="154">
        <v>0</v>
      </c>
      <c r="O28" s="251">
        <f>ROUND(E28*N28,2)</f>
        <v>0</v>
      </c>
      <c r="P28" s="154">
        <v>0</v>
      </c>
      <c r="Q28" s="154">
        <f>ROUND(E28*P28,2)</f>
        <v>0</v>
      </c>
      <c r="R28" s="155"/>
      <c r="S28" s="155" t="s">
        <v>1198</v>
      </c>
      <c r="T28" s="155" t="s">
        <v>1198</v>
      </c>
      <c r="U28" s="155">
        <v>0.32</v>
      </c>
      <c r="V28" s="155">
        <f>ROUND(E28*U28,2)</f>
        <v>3.42</v>
      </c>
      <c r="W28" s="155"/>
      <c r="X28" s="155" t="s">
        <v>143</v>
      </c>
      <c r="Y28" s="155" t="s">
        <v>144</v>
      </c>
      <c r="Z28" s="145"/>
      <c r="AA28" s="145"/>
      <c r="AB28" s="145"/>
      <c r="AC28" s="145"/>
      <c r="AD28" s="145"/>
      <c r="AE28" s="145"/>
      <c r="AF28" s="145"/>
      <c r="AG28" s="145" t="s">
        <v>145</v>
      </c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2" x14ac:dyDescent="0.25">
      <c r="A29" s="152"/>
      <c r="B29" s="153"/>
      <c r="C29" s="574" t="s">
        <v>264</v>
      </c>
      <c r="D29" s="575"/>
      <c r="E29" s="575"/>
      <c r="F29" s="575"/>
      <c r="G29" s="575"/>
      <c r="H29" s="155"/>
      <c r="I29" s="155"/>
      <c r="J29" s="155"/>
      <c r="K29" s="155"/>
      <c r="L29" s="155"/>
      <c r="M29" s="155"/>
      <c r="N29" s="154"/>
      <c r="O29" s="251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5"/>
      <c r="AA29" s="145"/>
      <c r="AB29" s="145"/>
      <c r="AC29" s="145"/>
      <c r="AD29" s="145"/>
      <c r="AE29" s="145"/>
      <c r="AF29" s="145"/>
      <c r="AG29" s="145" t="s">
        <v>168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2" x14ac:dyDescent="0.25">
      <c r="A30" s="152"/>
      <c r="B30" s="153"/>
      <c r="C30" s="186" t="s">
        <v>1181</v>
      </c>
      <c r="D30" s="184"/>
      <c r="E30" s="185">
        <v>10.692</v>
      </c>
      <c r="F30" s="155"/>
      <c r="G30" s="155"/>
      <c r="H30" s="155"/>
      <c r="I30" s="155"/>
      <c r="J30" s="155"/>
      <c r="K30" s="155"/>
      <c r="L30" s="155"/>
      <c r="M30" s="155"/>
      <c r="N30" s="154"/>
      <c r="O30" s="251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45"/>
      <c r="AA30" s="145"/>
      <c r="AB30" s="145"/>
      <c r="AC30" s="145"/>
      <c r="AD30" s="145"/>
      <c r="AE30" s="145"/>
      <c r="AF30" s="145"/>
      <c r="AG30" s="145" t="s">
        <v>170</v>
      </c>
      <c r="AH30" s="145">
        <v>5</v>
      </c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ht="20.399999999999999" outlineLevel="1" x14ac:dyDescent="0.25">
      <c r="A31" s="166">
        <v>15</v>
      </c>
      <c r="B31" s="167" t="s">
        <v>265</v>
      </c>
      <c r="C31" s="180" t="s">
        <v>266</v>
      </c>
      <c r="D31" s="168" t="s">
        <v>267</v>
      </c>
      <c r="E31" s="169">
        <v>3.3254299999999999</v>
      </c>
      <c r="F31" s="170"/>
      <c r="G31" s="171">
        <f>ROUND(E31*F31,2)</f>
        <v>0</v>
      </c>
      <c r="H31" s="156">
        <v>46791.09</v>
      </c>
      <c r="I31" s="155">
        <f>ROUND(E31*H31,2)</f>
        <v>155600.49</v>
      </c>
      <c r="J31" s="156">
        <v>13868.91</v>
      </c>
      <c r="K31" s="155">
        <f>ROUND(E31*J31,2)</f>
        <v>46120.09</v>
      </c>
      <c r="L31" s="155">
        <v>21</v>
      </c>
      <c r="M31" s="155">
        <f>G31*(1+L31/100)</f>
        <v>0</v>
      </c>
      <c r="N31" s="154">
        <v>1.0217400000000001</v>
      </c>
      <c r="O31" s="251">
        <f>ROUND(E31*N31,2)</f>
        <v>3.4</v>
      </c>
      <c r="P31" s="154">
        <v>0</v>
      </c>
      <c r="Q31" s="154">
        <f>ROUND(E31*P31,2)</f>
        <v>0</v>
      </c>
      <c r="R31" s="155"/>
      <c r="S31" s="155" t="s">
        <v>1198</v>
      </c>
      <c r="T31" s="155" t="s">
        <v>1198</v>
      </c>
      <c r="U31" s="155">
        <v>23.53</v>
      </c>
      <c r="V31" s="155">
        <f>ROUND(E31*U31,2)</f>
        <v>78.25</v>
      </c>
      <c r="W31" s="155"/>
      <c r="X31" s="155" t="s">
        <v>143</v>
      </c>
      <c r="Y31" s="155" t="s">
        <v>144</v>
      </c>
      <c r="Z31" s="145"/>
      <c r="AA31" s="145"/>
      <c r="AB31" s="145"/>
      <c r="AC31" s="145"/>
      <c r="AD31" s="145"/>
      <c r="AE31" s="145"/>
      <c r="AF31" s="145"/>
      <c r="AG31" s="145" t="s">
        <v>145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2" x14ac:dyDescent="0.25">
      <c r="A32" s="152"/>
      <c r="B32" s="153"/>
      <c r="C32" s="186" t="s">
        <v>1185</v>
      </c>
      <c r="D32" s="184"/>
      <c r="E32" s="185">
        <v>3.3254299999999999</v>
      </c>
      <c r="F32" s="155"/>
      <c r="G32" s="155"/>
      <c r="H32" s="155"/>
      <c r="I32" s="155"/>
      <c r="J32" s="155"/>
      <c r="K32" s="155"/>
      <c r="L32" s="155"/>
      <c r="M32" s="155"/>
      <c r="N32" s="154"/>
      <c r="O32" s="251"/>
      <c r="P32" s="154"/>
      <c r="Q32" s="154"/>
      <c r="R32" s="155"/>
      <c r="S32" s="155"/>
      <c r="T32" s="155"/>
      <c r="U32" s="155"/>
      <c r="V32" s="155"/>
      <c r="W32" s="155"/>
      <c r="X32" s="155"/>
      <c r="Y32" s="155"/>
      <c r="Z32" s="145"/>
      <c r="AA32" s="145"/>
      <c r="AB32" s="145"/>
      <c r="AC32" s="145"/>
      <c r="AD32" s="145"/>
      <c r="AE32" s="145"/>
      <c r="AF32" s="145"/>
      <c r="AG32" s="145" t="s">
        <v>170</v>
      </c>
      <c r="AH32" s="145">
        <v>0</v>
      </c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5">
      <c r="A33" s="166">
        <v>16</v>
      </c>
      <c r="B33" s="167" t="s">
        <v>268</v>
      </c>
      <c r="C33" s="180" t="s">
        <v>269</v>
      </c>
      <c r="D33" s="168" t="s">
        <v>241</v>
      </c>
      <c r="E33" s="169">
        <v>17.823</v>
      </c>
      <c r="F33" s="170"/>
      <c r="G33" s="171">
        <f>ROUND(E33*F33,2)</f>
        <v>0</v>
      </c>
      <c r="H33" s="156">
        <v>2783.83</v>
      </c>
      <c r="I33" s="155">
        <f>ROUND(E33*H33,2)</f>
        <v>49616.2</v>
      </c>
      <c r="J33" s="156">
        <v>321.17</v>
      </c>
      <c r="K33" s="155">
        <f>ROUND(E33*J33,2)</f>
        <v>5724.21</v>
      </c>
      <c r="L33" s="155">
        <v>21</v>
      </c>
      <c r="M33" s="155">
        <f>G33*(1+L33/100)</f>
        <v>0</v>
      </c>
      <c r="N33" s="154">
        <v>2.5249999999999999</v>
      </c>
      <c r="O33" s="251">
        <f>ROUND(E33*N33,2)</f>
        <v>45</v>
      </c>
      <c r="P33" s="154">
        <v>0</v>
      </c>
      <c r="Q33" s="154">
        <f>ROUND(E33*P33,2)</f>
        <v>0</v>
      </c>
      <c r="R33" s="155"/>
      <c r="S33" s="155" t="s">
        <v>1198</v>
      </c>
      <c r="T33" s="155" t="s">
        <v>1198</v>
      </c>
      <c r="U33" s="155">
        <v>0.48</v>
      </c>
      <c r="V33" s="155">
        <f>ROUND(E33*U33,2)</f>
        <v>8.56</v>
      </c>
      <c r="W33" s="155"/>
      <c r="X33" s="155" t="s">
        <v>143</v>
      </c>
      <c r="Y33" s="155" t="s">
        <v>144</v>
      </c>
      <c r="Z33" s="145"/>
      <c r="AA33" s="145"/>
      <c r="AB33" s="145"/>
      <c r="AC33" s="145"/>
      <c r="AD33" s="145"/>
      <c r="AE33" s="145"/>
      <c r="AF33" s="145"/>
      <c r="AG33" s="145" t="s">
        <v>145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2" x14ac:dyDescent="0.25">
      <c r="A34" s="152"/>
      <c r="B34" s="153"/>
      <c r="C34" s="186" t="s">
        <v>270</v>
      </c>
      <c r="D34" s="184"/>
      <c r="E34" s="185">
        <v>17.823</v>
      </c>
      <c r="F34" s="155"/>
      <c r="G34" s="155"/>
      <c r="H34" s="155"/>
      <c r="I34" s="155"/>
      <c r="J34" s="155"/>
      <c r="K34" s="155"/>
      <c r="L34" s="155"/>
      <c r="M34" s="155"/>
      <c r="N34" s="154"/>
      <c r="O34" s="251"/>
      <c r="P34" s="154"/>
      <c r="Q34" s="154"/>
      <c r="R34" s="155"/>
      <c r="S34" s="155"/>
      <c r="T34" s="155"/>
      <c r="U34" s="155"/>
      <c r="V34" s="155"/>
      <c r="W34" s="155"/>
      <c r="X34" s="155"/>
      <c r="Y34" s="155"/>
      <c r="Z34" s="145"/>
      <c r="AA34" s="145"/>
      <c r="AB34" s="145"/>
      <c r="AC34" s="145"/>
      <c r="AD34" s="145"/>
      <c r="AE34" s="145"/>
      <c r="AF34" s="145"/>
      <c r="AG34" s="145" t="s">
        <v>170</v>
      </c>
      <c r="AH34" s="145">
        <v>0</v>
      </c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ht="20.399999999999999" outlineLevel="1" x14ac:dyDescent="0.25">
      <c r="A35" s="166">
        <v>19</v>
      </c>
      <c r="B35" s="167" t="s">
        <v>271</v>
      </c>
      <c r="C35" s="180" t="s">
        <v>1178</v>
      </c>
      <c r="D35" s="168" t="s">
        <v>241</v>
      </c>
      <c r="E35" s="169">
        <v>10.762499999999999</v>
      </c>
      <c r="F35" s="170"/>
      <c r="G35" s="171">
        <f>ROUND(E35*F35,2)</f>
        <v>0</v>
      </c>
      <c r="H35" s="156">
        <v>2648.64</v>
      </c>
      <c r="I35" s="155">
        <f>ROUND(E35*H35,2)</f>
        <v>28505.99</v>
      </c>
      <c r="J35" s="156">
        <v>526.36</v>
      </c>
      <c r="K35" s="155">
        <f>ROUND(E35*J35,2)</f>
        <v>5664.95</v>
      </c>
      <c r="L35" s="155">
        <v>21</v>
      </c>
      <c r="M35" s="155">
        <f>G35*(1+L35/100)</f>
        <v>0</v>
      </c>
      <c r="N35" s="154">
        <v>2.5251399999999999</v>
      </c>
      <c r="O35" s="251">
        <f>ROUND(E35*N35,2)</f>
        <v>27.18</v>
      </c>
      <c r="P35" s="154">
        <v>0</v>
      </c>
      <c r="Q35" s="154">
        <f>ROUND(E35*P35,2)</f>
        <v>0</v>
      </c>
      <c r="R35" s="155"/>
      <c r="S35" s="155" t="s">
        <v>1198</v>
      </c>
      <c r="T35" s="155" t="s">
        <v>1198</v>
      </c>
      <c r="U35" s="155">
        <v>1.17</v>
      </c>
      <c r="V35" s="155">
        <f>ROUND(E35*U35,2)</f>
        <v>12.59</v>
      </c>
      <c r="W35" s="155"/>
      <c r="X35" s="155" t="s">
        <v>143</v>
      </c>
      <c r="Y35" s="155" t="s">
        <v>144</v>
      </c>
      <c r="Z35" s="145"/>
      <c r="AA35" s="145"/>
      <c r="AB35" s="145"/>
      <c r="AC35" s="145"/>
      <c r="AD35" s="145"/>
      <c r="AE35" s="145"/>
      <c r="AF35" s="145"/>
      <c r="AG35" s="145" t="s">
        <v>145</v>
      </c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2" x14ac:dyDescent="0.25">
      <c r="A36" s="152"/>
      <c r="B36" s="153"/>
      <c r="C36" s="186" t="s">
        <v>272</v>
      </c>
      <c r="D36" s="184"/>
      <c r="E36" s="185">
        <v>10.762499999999999</v>
      </c>
      <c r="F36" s="155"/>
      <c r="G36" s="155"/>
      <c r="H36" s="155"/>
      <c r="I36" s="155"/>
      <c r="J36" s="155"/>
      <c r="K36" s="155"/>
      <c r="L36" s="155"/>
      <c r="M36" s="155"/>
      <c r="N36" s="154"/>
      <c r="O36" s="251"/>
      <c r="P36" s="154"/>
      <c r="Q36" s="154"/>
      <c r="R36" s="155"/>
      <c r="S36" s="155"/>
      <c r="T36" s="155"/>
      <c r="U36" s="155"/>
      <c r="V36" s="155"/>
      <c r="W36" s="155"/>
      <c r="X36" s="155"/>
      <c r="Y36" s="155"/>
      <c r="Z36" s="145"/>
      <c r="AA36" s="145"/>
      <c r="AB36" s="145"/>
      <c r="AC36" s="145"/>
      <c r="AD36" s="145"/>
      <c r="AE36" s="145"/>
      <c r="AF36" s="145"/>
      <c r="AG36" s="145" t="s">
        <v>170</v>
      </c>
      <c r="AH36" s="145">
        <v>0</v>
      </c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ht="20.399999999999999" outlineLevel="1" x14ac:dyDescent="0.25">
      <c r="A37" s="166">
        <v>20</v>
      </c>
      <c r="B37" s="167" t="s">
        <v>273</v>
      </c>
      <c r="C37" s="180" t="s">
        <v>274</v>
      </c>
      <c r="D37" s="168" t="s">
        <v>267</v>
      </c>
      <c r="E37" s="169">
        <v>0.35910999999999998</v>
      </c>
      <c r="F37" s="170"/>
      <c r="G37" s="171">
        <f>ROUND(E37*F37,2)</f>
        <v>0</v>
      </c>
      <c r="H37" s="156">
        <v>44950.99</v>
      </c>
      <c r="I37" s="155">
        <f>ROUND(E37*H37,2)</f>
        <v>16142.35</v>
      </c>
      <c r="J37" s="156">
        <v>7929.01</v>
      </c>
      <c r="K37" s="155">
        <f>ROUND(E37*J37,2)</f>
        <v>2847.39</v>
      </c>
      <c r="L37" s="155">
        <v>21</v>
      </c>
      <c r="M37" s="155">
        <f>G37*(1+L37/100)</f>
        <v>0</v>
      </c>
      <c r="N37" s="154">
        <v>1.0554399999999999</v>
      </c>
      <c r="O37" s="251">
        <f>ROUND(E37*N37,2)</f>
        <v>0.38</v>
      </c>
      <c r="P37" s="154">
        <v>0</v>
      </c>
      <c r="Q37" s="154">
        <f>ROUND(E37*P37,2)</f>
        <v>0</v>
      </c>
      <c r="R37" s="155"/>
      <c r="S37" s="155" t="s">
        <v>1198</v>
      </c>
      <c r="T37" s="155" t="s">
        <v>1198</v>
      </c>
      <c r="U37" s="155">
        <v>15.23</v>
      </c>
      <c r="V37" s="155">
        <f>ROUND(E37*U37,2)</f>
        <v>5.47</v>
      </c>
      <c r="W37" s="155"/>
      <c r="X37" s="155" t="s">
        <v>143</v>
      </c>
      <c r="Y37" s="155" t="s">
        <v>144</v>
      </c>
      <c r="Z37" s="145"/>
      <c r="AA37" s="145"/>
      <c r="AB37" s="145"/>
      <c r="AC37" s="145"/>
      <c r="AD37" s="145"/>
      <c r="AE37" s="145"/>
      <c r="AF37" s="145"/>
      <c r="AG37" s="145" t="s">
        <v>145</v>
      </c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2" x14ac:dyDescent="0.25">
      <c r="A38" s="152"/>
      <c r="B38" s="153"/>
      <c r="C38" s="186" t="s">
        <v>275</v>
      </c>
      <c r="D38" s="184"/>
      <c r="E38" s="185">
        <v>0.35910999999999998</v>
      </c>
      <c r="F38" s="155"/>
      <c r="G38" s="155"/>
      <c r="H38" s="155"/>
      <c r="I38" s="155"/>
      <c r="J38" s="155"/>
      <c r="K38" s="155"/>
      <c r="L38" s="155"/>
      <c r="M38" s="155"/>
      <c r="N38" s="154"/>
      <c r="O38" s="251"/>
      <c r="P38" s="154"/>
      <c r="Q38" s="154"/>
      <c r="R38" s="155"/>
      <c r="S38" s="155"/>
      <c r="T38" s="155"/>
      <c r="U38" s="155"/>
      <c r="V38" s="155"/>
      <c r="W38" s="155"/>
      <c r="X38" s="155"/>
      <c r="Y38" s="155"/>
      <c r="Z38" s="145"/>
      <c r="AA38" s="145"/>
      <c r="AB38" s="145"/>
      <c r="AC38" s="145"/>
      <c r="AD38" s="145"/>
      <c r="AE38" s="145"/>
      <c r="AF38" s="145"/>
      <c r="AG38" s="145" t="s">
        <v>170</v>
      </c>
      <c r="AH38" s="145">
        <v>0</v>
      </c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x14ac:dyDescent="0.25">
      <c r="A39" s="159" t="s">
        <v>136</v>
      </c>
      <c r="B39" s="160" t="s">
        <v>67</v>
      </c>
      <c r="C39" s="178" t="s">
        <v>68</v>
      </c>
      <c r="D39" s="161"/>
      <c r="E39" s="162"/>
      <c r="F39" s="163"/>
      <c r="G39" s="164">
        <f>SUMIF(AG40:AG66,"&lt;&gt;NOR",G40:G66)</f>
        <v>0</v>
      </c>
      <c r="H39" s="158"/>
      <c r="I39" s="158">
        <f>SUM(I40:I66)</f>
        <v>268990.01</v>
      </c>
      <c r="J39" s="158"/>
      <c r="K39" s="158">
        <f>SUM(K40:K66)</f>
        <v>57672.44</v>
      </c>
      <c r="L39" s="158"/>
      <c r="M39" s="158">
        <f>SUM(M40:M66)</f>
        <v>0</v>
      </c>
      <c r="N39" s="157"/>
      <c r="O39" s="252">
        <f>SUM(O40:O66)</f>
        <v>25.74945</v>
      </c>
      <c r="P39" s="157"/>
      <c r="Q39" s="157">
        <f>SUM(Q40:Q66)</f>
        <v>0</v>
      </c>
      <c r="R39" s="158"/>
      <c r="S39" s="158"/>
      <c r="T39" s="158"/>
      <c r="U39" s="158"/>
      <c r="V39" s="158">
        <f>SUM(V40:V66)</f>
        <v>98.610000000000014</v>
      </c>
      <c r="W39" s="158"/>
      <c r="X39" s="158"/>
      <c r="Y39" s="158"/>
      <c r="AG39" t="s">
        <v>137</v>
      </c>
    </row>
    <row r="40" spans="1:60" outlineLevel="1" x14ac:dyDescent="0.25">
      <c r="A40" s="166">
        <v>21</v>
      </c>
      <c r="B40" s="167" t="s">
        <v>276</v>
      </c>
      <c r="C40" s="180" t="s">
        <v>277</v>
      </c>
      <c r="D40" s="168" t="s">
        <v>241</v>
      </c>
      <c r="E40" s="169">
        <v>0.13919999999999999</v>
      </c>
      <c r="F40" s="170"/>
      <c r="G40" s="171">
        <f>ROUND(E40*F40,2)</f>
        <v>0</v>
      </c>
      <c r="H40" s="156">
        <v>3415.18</v>
      </c>
      <c r="I40" s="155">
        <f>ROUND(E40*H40,2)</f>
        <v>475.39</v>
      </c>
      <c r="J40" s="156">
        <v>1209.82</v>
      </c>
      <c r="K40" s="155">
        <f>ROUND(E40*J40,2)</f>
        <v>168.41</v>
      </c>
      <c r="L40" s="155">
        <v>21</v>
      </c>
      <c r="M40" s="155">
        <f>G40*(1+L40/100)</f>
        <v>0</v>
      </c>
      <c r="N40" s="154">
        <v>2.53999</v>
      </c>
      <c r="O40" s="251">
        <f>ROUND(E40*N40,2)</f>
        <v>0.35</v>
      </c>
      <c r="P40" s="154">
        <v>0</v>
      </c>
      <c r="Q40" s="154">
        <f>ROUND(E40*P40,2)</f>
        <v>0</v>
      </c>
      <c r="R40" s="155"/>
      <c r="S40" s="155" t="s">
        <v>1198</v>
      </c>
      <c r="T40" s="155" t="s">
        <v>1198</v>
      </c>
      <c r="U40" s="155">
        <v>2.2999999999999998</v>
      </c>
      <c r="V40" s="155">
        <f>ROUND(E40*U40,2)</f>
        <v>0.32</v>
      </c>
      <c r="W40" s="155"/>
      <c r="X40" s="155" t="s">
        <v>143</v>
      </c>
      <c r="Y40" s="155" t="s">
        <v>144</v>
      </c>
      <c r="Z40" s="145"/>
      <c r="AA40" s="145"/>
      <c r="AB40" s="145"/>
      <c r="AC40" s="145"/>
      <c r="AD40" s="145"/>
      <c r="AE40" s="145"/>
      <c r="AF40" s="145"/>
      <c r="AG40" s="145" t="s">
        <v>145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2" x14ac:dyDescent="0.25">
      <c r="A41" s="152"/>
      <c r="B41" s="153"/>
      <c r="C41" s="186" t="s">
        <v>278</v>
      </c>
      <c r="D41" s="184"/>
      <c r="E41" s="185">
        <v>0.13919999999999999</v>
      </c>
      <c r="F41" s="155"/>
      <c r="G41" s="155"/>
      <c r="H41" s="155"/>
      <c r="I41" s="155"/>
      <c r="J41" s="155"/>
      <c r="K41" s="155"/>
      <c r="L41" s="155"/>
      <c r="M41" s="155"/>
      <c r="N41" s="154"/>
      <c r="O41" s="251"/>
      <c r="P41" s="154"/>
      <c r="Q41" s="154"/>
      <c r="R41" s="155"/>
      <c r="S41" s="155"/>
      <c r="T41" s="155"/>
      <c r="U41" s="155"/>
      <c r="V41" s="155"/>
      <c r="W41" s="155"/>
      <c r="X41" s="155"/>
      <c r="Y41" s="155"/>
      <c r="Z41" s="145"/>
      <c r="AA41" s="145"/>
      <c r="AB41" s="145"/>
      <c r="AC41" s="145"/>
      <c r="AD41" s="145"/>
      <c r="AE41" s="145"/>
      <c r="AF41" s="145"/>
      <c r="AG41" s="145" t="s">
        <v>170</v>
      </c>
      <c r="AH41" s="145">
        <v>0</v>
      </c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5">
      <c r="A42" s="166">
        <v>22</v>
      </c>
      <c r="B42" s="167" t="s">
        <v>279</v>
      </c>
      <c r="C42" s="180" t="s">
        <v>280</v>
      </c>
      <c r="D42" s="168" t="s">
        <v>165</v>
      </c>
      <c r="E42" s="169">
        <v>2.7839999999999998</v>
      </c>
      <c r="F42" s="170"/>
      <c r="G42" s="171">
        <f>ROUND(E42*F42,2)</f>
        <v>0</v>
      </c>
      <c r="H42" s="156">
        <v>385.86</v>
      </c>
      <c r="I42" s="155">
        <f>ROUND(E42*H42,2)</f>
        <v>1074.23</v>
      </c>
      <c r="J42" s="156">
        <v>332.14</v>
      </c>
      <c r="K42" s="155">
        <f>ROUND(E42*J42,2)</f>
        <v>924.68</v>
      </c>
      <c r="L42" s="155">
        <v>21</v>
      </c>
      <c r="M42" s="155">
        <f>G42*(1+L42/100)</f>
        <v>0</v>
      </c>
      <c r="N42" s="154">
        <v>3.8080000000000003E-2</v>
      </c>
      <c r="O42" s="251">
        <f>ROUND(E42*N42,2)</f>
        <v>0.11</v>
      </c>
      <c r="P42" s="154">
        <v>0</v>
      </c>
      <c r="Q42" s="154">
        <f>ROUND(E42*P42,2)</f>
        <v>0</v>
      </c>
      <c r="R42" s="155"/>
      <c r="S42" s="155" t="s">
        <v>1198</v>
      </c>
      <c r="T42" s="155" t="s">
        <v>1198</v>
      </c>
      <c r="U42" s="155">
        <v>0.7</v>
      </c>
      <c r="V42" s="155">
        <f>ROUND(E42*U42,2)</f>
        <v>1.95</v>
      </c>
      <c r="W42" s="155"/>
      <c r="X42" s="155" t="s">
        <v>143</v>
      </c>
      <c r="Y42" s="155" t="s">
        <v>144</v>
      </c>
      <c r="Z42" s="145"/>
      <c r="AA42" s="145"/>
      <c r="AB42" s="145"/>
      <c r="AC42" s="145"/>
      <c r="AD42" s="145"/>
      <c r="AE42" s="145"/>
      <c r="AF42" s="145"/>
      <c r="AG42" s="145" t="s">
        <v>145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2" x14ac:dyDescent="0.25">
      <c r="A43" s="152"/>
      <c r="B43" s="153"/>
      <c r="C43" s="186" t="s">
        <v>281</v>
      </c>
      <c r="D43" s="184"/>
      <c r="E43" s="185">
        <v>2.7839999999999998</v>
      </c>
      <c r="F43" s="155"/>
      <c r="G43" s="155"/>
      <c r="H43" s="155"/>
      <c r="I43" s="155"/>
      <c r="J43" s="155"/>
      <c r="K43" s="155"/>
      <c r="L43" s="155"/>
      <c r="M43" s="155"/>
      <c r="N43" s="154"/>
      <c r="O43" s="251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45"/>
      <c r="AA43" s="145"/>
      <c r="AB43" s="145"/>
      <c r="AC43" s="145"/>
      <c r="AD43" s="145"/>
      <c r="AE43" s="145"/>
      <c r="AF43" s="145"/>
      <c r="AG43" s="145" t="s">
        <v>170</v>
      </c>
      <c r="AH43" s="145">
        <v>0</v>
      </c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5">
      <c r="A44" s="166">
        <v>23</v>
      </c>
      <c r="B44" s="167" t="s">
        <v>282</v>
      </c>
      <c r="C44" s="180" t="s">
        <v>283</v>
      </c>
      <c r="D44" s="168" t="s">
        <v>165</v>
      </c>
      <c r="E44" s="169">
        <v>2.7839999999999998</v>
      </c>
      <c r="F44" s="170"/>
      <c r="G44" s="171">
        <f>ROUND(E44*F44,2)</f>
        <v>0</v>
      </c>
      <c r="H44" s="156">
        <v>0</v>
      </c>
      <c r="I44" s="155">
        <f>ROUND(E44*H44,2)</f>
        <v>0</v>
      </c>
      <c r="J44" s="156">
        <v>134</v>
      </c>
      <c r="K44" s="155">
        <f>ROUND(E44*J44,2)</f>
        <v>373.06</v>
      </c>
      <c r="L44" s="155">
        <v>21</v>
      </c>
      <c r="M44" s="155">
        <f>G44*(1+L44/100)</f>
        <v>0</v>
      </c>
      <c r="N44" s="154">
        <v>0</v>
      </c>
      <c r="O44" s="251">
        <f>ROUND(E44*N44,2)</f>
        <v>0</v>
      </c>
      <c r="P44" s="154">
        <v>0</v>
      </c>
      <c r="Q44" s="154">
        <f>ROUND(E44*P44,2)</f>
        <v>0</v>
      </c>
      <c r="R44" s="155"/>
      <c r="S44" s="155" t="s">
        <v>1198</v>
      </c>
      <c r="T44" s="155" t="s">
        <v>1198</v>
      </c>
      <c r="U44" s="155">
        <v>0.3</v>
      </c>
      <c r="V44" s="155">
        <f>ROUND(E44*U44,2)</f>
        <v>0.84</v>
      </c>
      <c r="W44" s="155"/>
      <c r="X44" s="155" t="s">
        <v>143</v>
      </c>
      <c r="Y44" s="155" t="s">
        <v>144</v>
      </c>
      <c r="Z44" s="145"/>
      <c r="AA44" s="145"/>
      <c r="AB44" s="145"/>
      <c r="AC44" s="145"/>
      <c r="AD44" s="145"/>
      <c r="AE44" s="145"/>
      <c r="AF44" s="145"/>
      <c r="AG44" s="145" t="s">
        <v>145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2" x14ac:dyDescent="0.25">
      <c r="A45" s="152"/>
      <c r="B45" s="153"/>
      <c r="C45" s="186" t="s">
        <v>284</v>
      </c>
      <c r="D45" s="184"/>
      <c r="E45" s="185">
        <v>2.7839999999999998</v>
      </c>
      <c r="F45" s="155"/>
      <c r="G45" s="155"/>
      <c r="H45" s="155"/>
      <c r="I45" s="155"/>
      <c r="J45" s="155"/>
      <c r="K45" s="155"/>
      <c r="L45" s="155"/>
      <c r="M45" s="155"/>
      <c r="N45" s="154"/>
      <c r="O45" s="251"/>
      <c r="P45" s="154"/>
      <c r="Q45" s="154"/>
      <c r="R45" s="155"/>
      <c r="S45" s="155"/>
      <c r="T45" s="155"/>
      <c r="U45" s="155"/>
      <c r="V45" s="155"/>
      <c r="W45" s="155"/>
      <c r="X45" s="155"/>
      <c r="Y45" s="155"/>
      <c r="Z45" s="145"/>
      <c r="AA45" s="145"/>
      <c r="AB45" s="145"/>
      <c r="AC45" s="145"/>
      <c r="AD45" s="145"/>
      <c r="AE45" s="145"/>
      <c r="AF45" s="145"/>
      <c r="AG45" s="145" t="s">
        <v>170</v>
      </c>
      <c r="AH45" s="145">
        <v>5</v>
      </c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5">
      <c r="A46" s="166">
        <v>24</v>
      </c>
      <c r="B46" s="167" t="s">
        <v>285</v>
      </c>
      <c r="C46" s="180" t="s">
        <v>286</v>
      </c>
      <c r="D46" s="168" t="s">
        <v>267</v>
      </c>
      <c r="E46" s="169">
        <v>2.784E-2</v>
      </c>
      <c r="F46" s="170"/>
      <c r="G46" s="171">
        <f>ROUND(E46*F46,2)</f>
        <v>0</v>
      </c>
      <c r="H46" s="156">
        <v>48997.22</v>
      </c>
      <c r="I46" s="155">
        <f>ROUND(E46*H46,2)</f>
        <v>1364.08</v>
      </c>
      <c r="J46" s="156">
        <v>17292.78</v>
      </c>
      <c r="K46" s="155">
        <f>ROUND(E46*J46,2)</f>
        <v>481.43</v>
      </c>
      <c r="L46" s="155">
        <v>21</v>
      </c>
      <c r="M46" s="155">
        <f>G46*(1+L46/100)</f>
        <v>0</v>
      </c>
      <c r="N46" s="154">
        <v>1.02396</v>
      </c>
      <c r="O46" s="251">
        <f>ROUND(E46*N46,2)</f>
        <v>0.03</v>
      </c>
      <c r="P46" s="154">
        <v>0</v>
      </c>
      <c r="Q46" s="154">
        <f>ROUND(E46*P46,2)</f>
        <v>0</v>
      </c>
      <c r="R46" s="155"/>
      <c r="S46" s="155" t="s">
        <v>1198</v>
      </c>
      <c r="T46" s="155" t="s">
        <v>1198</v>
      </c>
      <c r="U46" s="155">
        <v>29.57</v>
      </c>
      <c r="V46" s="155">
        <f>ROUND(E46*U46,2)</f>
        <v>0.82</v>
      </c>
      <c r="W46" s="155"/>
      <c r="X46" s="155" t="s">
        <v>143</v>
      </c>
      <c r="Y46" s="155" t="s">
        <v>144</v>
      </c>
      <c r="Z46" s="145"/>
      <c r="AA46" s="145"/>
      <c r="AB46" s="145"/>
      <c r="AC46" s="145"/>
      <c r="AD46" s="145"/>
      <c r="AE46" s="145"/>
      <c r="AF46" s="145"/>
      <c r="AG46" s="145" t="s">
        <v>145</v>
      </c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2" x14ac:dyDescent="0.25">
      <c r="A47" s="152"/>
      <c r="B47" s="153"/>
      <c r="C47" s="186" t="s">
        <v>287</v>
      </c>
      <c r="D47" s="184"/>
      <c r="E47" s="185">
        <v>2.784E-2</v>
      </c>
      <c r="F47" s="155"/>
      <c r="G47" s="155"/>
      <c r="H47" s="155"/>
      <c r="I47" s="155"/>
      <c r="J47" s="155"/>
      <c r="K47" s="155"/>
      <c r="L47" s="155"/>
      <c r="M47" s="155"/>
      <c r="N47" s="154"/>
      <c r="O47" s="251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45"/>
      <c r="AA47" s="145"/>
      <c r="AB47" s="145"/>
      <c r="AC47" s="145"/>
      <c r="AD47" s="145"/>
      <c r="AE47" s="145"/>
      <c r="AF47" s="145"/>
      <c r="AG47" s="145" t="s">
        <v>170</v>
      </c>
      <c r="AH47" s="145">
        <v>0</v>
      </c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ht="20.399999999999999" outlineLevel="1" x14ac:dyDescent="0.25">
      <c r="A48" s="166">
        <v>25</v>
      </c>
      <c r="B48" s="167" t="s">
        <v>288</v>
      </c>
      <c r="C48" s="180" t="s">
        <v>289</v>
      </c>
      <c r="D48" s="168" t="s">
        <v>165</v>
      </c>
      <c r="E48" s="169">
        <v>73.97</v>
      </c>
      <c r="F48" s="170"/>
      <c r="G48" s="171">
        <f>ROUND(E48*F48,2)</f>
        <v>0</v>
      </c>
      <c r="H48" s="156">
        <v>2291.62</v>
      </c>
      <c r="I48" s="155">
        <f>ROUND(E48*H48,2)</f>
        <v>169511.13</v>
      </c>
      <c r="J48" s="156">
        <v>343.38</v>
      </c>
      <c r="K48" s="155">
        <f>ROUND(E48*J48,2)</f>
        <v>25399.82</v>
      </c>
      <c r="L48" s="155">
        <v>21</v>
      </c>
      <c r="M48" s="155">
        <f>G48*(1+L48/100)</f>
        <v>0</v>
      </c>
      <c r="N48" s="154">
        <v>0.23224</v>
      </c>
      <c r="O48" s="251">
        <f>ROUND(E48*N48,2)</f>
        <v>17.18</v>
      </c>
      <c r="P48" s="154">
        <v>0</v>
      </c>
      <c r="Q48" s="154">
        <f>ROUND(E48*P48,2)</f>
        <v>0</v>
      </c>
      <c r="R48" s="155"/>
      <c r="S48" s="155" t="s">
        <v>1198</v>
      </c>
      <c r="T48" s="155" t="s">
        <v>1198</v>
      </c>
      <c r="U48" s="155">
        <v>0.66</v>
      </c>
      <c r="V48" s="155">
        <f>ROUND(E48*U48,2)</f>
        <v>48.82</v>
      </c>
      <c r="W48" s="155"/>
      <c r="X48" s="155" t="s">
        <v>143</v>
      </c>
      <c r="Y48" s="155" t="s">
        <v>144</v>
      </c>
      <c r="Z48" s="145"/>
      <c r="AA48" s="145"/>
      <c r="AB48" s="145"/>
      <c r="AC48" s="145"/>
      <c r="AD48" s="145"/>
      <c r="AE48" s="145"/>
      <c r="AF48" s="145"/>
      <c r="AG48" s="145" t="s">
        <v>145</v>
      </c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ht="30.6" outlineLevel="2" x14ac:dyDescent="0.25">
      <c r="A49" s="152"/>
      <c r="B49" s="153"/>
      <c r="C49" s="186" t="s">
        <v>290</v>
      </c>
      <c r="D49" s="184"/>
      <c r="E49" s="185">
        <v>73.97</v>
      </c>
      <c r="F49" s="155"/>
      <c r="G49" s="155"/>
      <c r="H49" s="155"/>
      <c r="I49" s="155"/>
      <c r="J49" s="155"/>
      <c r="K49" s="155"/>
      <c r="L49" s="155"/>
      <c r="M49" s="155"/>
      <c r="N49" s="154"/>
      <c r="O49" s="251"/>
      <c r="P49" s="154"/>
      <c r="Q49" s="154"/>
      <c r="R49" s="155"/>
      <c r="S49" s="155" t="s">
        <v>1198</v>
      </c>
      <c r="T49" s="155" t="s">
        <v>1198</v>
      </c>
      <c r="U49" s="155"/>
      <c r="V49" s="155"/>
      <c r="W49" s="155"/>
      <c r="X49" s="155"/>
      <c r="Y49" s="155"/>
      <c r="Z49" s="145"/>
      <c r="AA49" s="145"/>
      <c r="AB49" s="145"/>
      <c r="AC49" s="145"/>
      <c r="AD49" s="145"/>
      <c r="AE49" s="145"/>
      <c r="AF49" s="145"/>
      <c r="AG49" s="145" t="s">
        <v>170</v>
      </c>
      <c r="AH49" s="145">
        <v>0</v>
      </c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ht="20.399999999999999" outlineLevel="1" x14ac:dyDescent="0.25">
      <c r="A50" s="166">
        <v>26</v>
      </c>
      <c r="B50" s="167" t="s">
        <v>291</v>
      </c>
      <c r="C50" s="180" t="s">
        <v>292</v>
      </c>
      <c r="D50" s="168" t="s">
        <v>165</v>
      </c>
      <c r="E50" s="169">
        <v>51.76688</v>
      </c>
      <c r="F50" s="170"/>
      <c r="G50" s="171">
        <f>ROUND(E50*F50,2)</f>
        <v>0</v>
      </c>
      <c r="H50" s="156">
        <v>989.53</v>
      </c>
      <c r="I50" s="155">
        <f>ROUND(E50*H50,2)</f>
        <v>51224.88</v>
      </c>
      <c r="J50" s="156">
        <v>286.47000000000003</v>
      </c>
      <c r="K50" s="155">
        <f>ROUND(E50*J50,2)</f>
        <v>14829.66</v>
      </c>
      <c r="L50" s="155">
        <v>21</v>
      </c>
      <c r="M50" s="155">
        <f>G50*(1+L50/100)</f>
        <v>0</v>
      </c>
      <c r="N50" s="154">
        <v>0.11219</v>
      </c>
      <c r="O50" s="251">
        <f>ROUND(E50*N50,2)</f>
        <v>5.81</v>
      </c>
      <c r="P50" s="154">
        <v>0</v>
      </c>
      <c r="Q50" s="154">
        <f>ROUND(E50*P50,2)</f>
        <v>0</v>
      </c>
      <c r="R50" s="155"/>
      <c r="S50" s="155" t="s">
        <v>1198</v>
      </c>
      <c r="T50" s="155" t="s">
        <v>1198</v>
      </c>
      <c r="U50" s="155">
        <v>0.55000000000000004</v>
      </c>
      <c r="V50" s="155">
        <f>ROUND(E50*U50,2)</f>
        <v>28.47</v>
      </c>
      <c r="W50" s="155"/>
      <c r="X50" s="155" t="s">
        <v>143</v>
      </c>
      <c r="Y50" s="155" t="s">
        <v>144</v>
      </c>
      <c r="Z50" s="145"/>
      <c r="AA50" s="145"/>
      <c r="AB50" s="145"/>
      <c r="AC50" s="145"/>
      <c r="AD50" s="145"/>
      <c r="AE50" s="145"/>
      <c r="AF50" s="145"/>
      <c r="AG50" s="145" t="s">
        <v>145</v>
      </c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2" x14ac:dyDescent="0.25">
      <c r="A51" s="152"/>
      <c r="B51" s="153"/>
      <c r="C51" s="186" t="s">
        <v>293</v>
      </c>
      <c r="D51" s="184"/>
      <c r="E51" s="185">
        <v>41.5976</v>
      </c>
      <c r="F51" s="155"/>
      <c r="G51" s="155"/>
      <c r="H51" s="155"/>
      <c r="I51" s="155"/>
      <c r="J51" s="155"/>
      <c r="K51" s="155"/>
      <c r="L51" s="155"/>
      <c r="M51" s="155"/>
      <c r="N51" s="154"/>
      <c r="O51" s="251"/>
      <c r="P51" s="154"/>
      <c r="Q51" s="154"/>
      <c r="R51" s="155"/>
      <c r="S51" s="155"/>
      <c r="T51" s="155"/>
      <c r="U51" s="155"/>
      <c r="V51" s="155"/>
      <c r="W51" s="155"/>
      <c r="X51" s="155"/>
      <c r="Y51" s="155"/>
      <c r="Z51" s="145"/>
      <c r="AA51" s="145"/>
      <c r="AB51" s="145"/>
      <c r="AC51" s="145"/>
      <c r="AD51" s="145"/>
      <c r="AE51" s="145"/>
      <c r="AF51" s="145"/>
      <c r="AG51" s="145" t="s">
        <v>170</v>
      </c>
      <c r="AH51" s="145">
        <v>0</v>
      </c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3" x14ac:dyDescent="0.25">
      <c r="A52" s="152"/>
      <c r="B52" s="153"/>
      <c r="C52" s="186" t="s">
        <v>294</v>
      </c>
      <c r="D52" s="184"/>
      <c r="E52" s="185">
        <v>10.169280000000001</v>
      </c>
      <c r="F52" s="155"/>
      <c r="G52" s="155"/>
      <c r="H52" s="155"/>
      <c r="I52" s="155"/>
      <c r="J52" s="155"/>
      <c r="K52" s="155"/>
      <c r="L52" s="155"/>
      <c r="M52" s="155"/>
      <c r="N52" s="154"/>
      <c r="O52" s="251"/>
      <c r="P52" s="154"/>
      <c r="Q52" s="154"/>
      <c r="R52" s="155"/>
      <c r="S52" s="155"/>
      <c r="T52" s="155"/>
      <c r="U52" s="155"/>
      <c r="V52" s="155"/>
      <c r="W52" s="155"/>
      <c r="X52" s="155"/>
      <c r="Y52" s="155"/>
      <c r="Z52" s="145"/>
      <c r="AA52" s="145"/>
      <c r="AB52" s="145"/>
      <c r="AC52" s="145"/>
      <c r="AD52" s="145"/>
      <c r="AE52" s="145"/>
      <c r="AF52" s="145"/>
      <c r="AG52" s="145" t="s">
        <v>170</v>
      </c>
      <c r="AH52" s="145">
        <v>0</v>
      </c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ht="20.399999999999999" outlineLevel="1" x14ac:dyDescent="0.25">
      <c r="A53" s="172">
        <v>27</v>
      </c>
      <c r="B53" s="173" t="s">
        <v>1216</v>
      </c>
      <c r="C53" s="179" t="s">
        <v>1218</v>
      </c>
      <c r="D53" s="174" t="s">
        <v>158</v>
      </c>
      <c r="E53" s="175">
        <v>4</v>
      </c>
      <c r="F53" s="176"/>
      <c r="G53" s="177">
        <f>ROUND(E53*F53,2)</f>
        <v>0</v>
      </c>
      <c r="H53" s="156">
        <v>0</v>
      </c>
      <c r="I53" s="155">
        <f>ROUND(E53*H53,2)</f>
        <v>0</v>
      </c>
      <c r="J53" s="156">
        <v>1801</v>
      </c>
      <c r="K53" s="155">
        <f>ROUND(E53*J53,2)</f>
        <v>7204</v>
      </c>
      <c r="L53" s="155">
        <v>21</v>
      </c>
      <c r="M53" s="155">
        <f>G53*(1+L53/100)</f>
        <v>0</v>
      </c>
      <c r="N53" s="154">
        <v>6.4299999999999996E-2</v>
      </c>
      <c r="O53" s="251">
        <f>ROUND(E53*N53,2)</f>
        <v>0.26</v>
      </c>
      <c r="P53" s="154">
        <v>0</v>
      </c>
      <c r="Q53" s="154">
        <f>ROUND(E53*P53,2)</f>
        <v>0</v>
      </c>
      <c r="R53" s="155"/>
      <c r="S53" s="155" t="s">
        <v>1198</v>
      </c>
      <c r="T53" s="155" t="s">
        <v>1198</v>
      </c>
      <c r="U53" s="155">
        <v>0.57789999999999997</v>
      </c>
      <c r="V53" s="155">
        <f>ROUND(E53*U53,2)</f>
        <v>2.31</v>
      </c>
      <c r="W53" s="155"/>
      <c r="X53" s="155" t="s">
        <v>143</v>
      </c>
      <c r="Y53" s="155" t="s">
        <v>144</v>
      </c>
      <c r="Z53" s="145"/>
      <c r="AA53" s="145"/>
      <c r="AB53" s="145"/>
      <c r="AC53" s="145"/>
      <c r="AD53" s="145"/>
      <c r="AE53" s="145"/>
      <c r="AF53" s="145"/>
      <c r="AG53" s="145" t="s">
        <v>145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ht="20.399999999999999" outlineLevel="1" x14ac:dyDescent="0.25">
      <c r="A54" s="166">
        <v>28</v>
      </c>
      <c r="B54" s="167" t="s">
        <v>1217</v>
      </c>
      <c r="C54" s="180" t="s">
        <v>1219</v>
      </c>
      <c r="D54" s="168" t="s">
        <v>158</v>
      </c>
      <c r="E54" s="169">
        <v>2</v>
      </c>
      <c r="F54" s="170"/>
      <c r="G54" s="171">
        <f>ROUND(E54*F54,2)</f>
        <v>0</v>
      </c>
      <c r="H54" s="156">
        <v>1409.87</v>
      </c>
      <c r="I54" s="155">
        <f>ROUND(E54*H54,2)</f>
        <v>2819.74</v>
      </c>
      <c r="J54" s="156">
        <v>127.13</v>
      </c>
      <c r="K54" s="155">
        <f>ROUND(E54*J54,2)</f>
        <v>254.26</v>
      </c>
      <c r="L54" s="155">
        <v>21</v>
      </c>
      <c r="M54" s="155">
        <f>G54*(1+L54/100)</f>
        <v>0</v>
      </c>
      <c r="N54" s="154">
        <v>3.9789999999999999E-2</v>
      </c>
      <c r="O54" s="251">
        <v>7.9450000000000007E-2</v>
      </c>
      <c r="P54" s="154">
        <v>0</v>
      </c>
      <c r="Q54" s="154">
        <f>ROUND(E54*P54,2)</f>
        <v>0</v>
      </c>
      <c r="R54" s="155"/>
      <c r="S54" s="155" t="s">
        <v>1198</v>
      </c>
      <c r="T54" s="155" t="s">
        <v>1198</v>
      </c>
      <c r="U54" s="155">
        <v>0.24</v>
      </c>
      <c r="V54" s="155">
        <f>ROUND(E54*U54,2)</f>
        <v>0.48</v>
      </c>
      <c r="W54" s="155"/>
      <c r="X54" s="155" t="s">
        <v>143</v>
      </c>
      <c r="Y54" s="155" t="s">
        <v>144</v>
      </c>
      <c r="Z54" s="145"/>
      <c r="AA54" s="145"/>
      <c r="AB54" s="145"/>
      <c r="AC54" s="145"/>
      <c r="AD54" s="145"/>
      <c r="AE54" s="145"/>
      <c r="AF54" s="145"/>
      <c r="AG54" s="145" t="s">
        <v>145</v>
      </c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ht="20.399999999999999" outlineLevel="1" x14ac:dyDescent="0.25">
      <c r="A55" s="166">
        <v>29</v>
      </c>
      <c r="B55" s="167" t="s">
        <v>295</v>
      </c>
      <c r="C55" s="180" t="s">
        <v>296</v>
      </c>
      <c r="D55" s="168" t="s">
        <v>165</v>
      </c>
      <c r="E55" s="169">
        <v>5.4669999999999996</v>
      </c>
      <c r="F55" s="170"/>
      <c r="G55" s="171">
        <f>ROUND(E55*F55,2)</f>
        <v>0</v>
      </c>
      <c r="H55" s="156">
        <v>940.62</v>
      </c>
      <c r="I55" s="155">
        <f>ROUND(E55*H55,2)</f>
        <v>5142.37</v>
      </c>
      <c r="J55" s="156">
        <v>423.38</v>
      </c>
      <c r="K55" s="155">
        <f>ROUND(E55*J55,2)</f>
        <v>2314.62</v>
      </c>
      <c r="L55" s="155">
        <v>21</v>
      </c>
      <c r="M55" s="155">
        <f>G55*(1+L55/100)</f>
        <v>0</v>
      </c>
      <c r="N55" s="154">
        <v>0.1114</v>
      </c>
      <c r="O55" s="251">
        <f>ROUND(E55*N55,2)</f>
        <v>0.61</v>
      </c>
      <c r="P55" s="154">
        <v>0</v>
      </c>
      <c r="Q55" s="154">
        <f>ROUND(E55*P55,2)</f>
        <v>0</v>
      </c>
      <c r="R55" s="155"/>
      <c r="S55" s="155" t="s">
        <v>1198</v>
      </c>
      <c r="T55" s="155" t="s">
        <v>1198</v>
      </c>
      <c r="U55" s="155">
        <v>0.82</v>
      </c>
      <c r="V55" s="155">
        <f>ROUND(E55*U55,2)</f>
        <v>4.4800000000000004</v>
      </c>
      <c r="W55" s="155"/>
      <c r="X55" s="155" t="s">
        <v>143</v>
      </c>
      <c r="Y55" s="155" t="s">
        <v>144</v>
      </c>
      <c r="Z55" s="145"/>
      <c r="AA55" s="145"/>
      <c r="AB55" s="145"/>
      <c r="AC55" s="145"/>
      <c r="AD55" s="145"/>
      <c r="AE55" s="145"/>
      <c r="AF55" s="145"/>
      <c r="AG55" s="145" t="s">
        <v>145</v>
      </c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2" x14ac:dyDescent="0.25">
      <c r="A56" s="152"/>
      <c r="B56" s="153"/>
      <c r="C56" s="186" t="s">
        <v>297</v>
      </c>
      <c r="D56" s="184"/>
      <c r="E56" s="185">
        <v>5.4669999999999996</v>
      </c>
      <c r="F56" s="155"/>
      <c r="G56" s="155"/>
      <c r="H56" s="155"/>
      <c r="I56" s="155"/>
      <c r="J56" s="155"/>
      <c r="K56" s="155"/>
      <c r="L56" s="155"/>
      <c r="M56" s="155"/>
      <c r="N56" s="154"/>
      <c r="O56" s="251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5"/>
      <c r="AA56" s="145"/>
      <c r="AB56" s="145"/>
      <c r="AC56" s="145"/>
      <c r="AD56" s="145"/>
      <c r="AE56" s="145"/>
      <c r="AF56" s="145"/>
      <c r="AG56" s="145" t="s">
        <v>170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5">
      <c r="A57" s="166">
        <v>30</v>
      </c>
      <c r="B57" s="167" t="s">
        <v>298</v>
      </c>
      <c r="C57" s="180" t="s">
        <v>299</v>
      </c>
      <c r="D57" s="168" t="s">
        <v>267</v>
      </c>
      <c r="E57" s="169">
        <v>0.2341</v>
      </c>
      <c r="F57" s="170"/>
      <c r="G57" s="171">
        <f>ROUND(E57*F57,2)</f>
        <v>0</v>
      </c>
      <c r="H57" s="156">
        <v>24.1</v>
      </c>
      <c r="I57" s="155">
        <f>ROUND(E57*H57,2)</f>
        <v>5.64</v>
      </c>
      <c r="J57" s="156">
        <v>12505.9</v>
      </c>
      <c r="K57" s="155">
        <f>ROUND(E57*J57,2)</f>
        <v>2927.63</v>
      </c>
      <c r="L57" s="155">
        <v>21</v>
      </c>
      <c r="M57" s="155">
        <f>G57*(1+L57/100)</f>
        <v>0</v>
      </c>
      <c r="N57" s="154">
        <v>1.9539999999999998E-2</v>
      </c>
      <c r="O57" s="251">
        <f>ROUND(E57*N57,2)</f>
        <v>0</v>
      </c>
      <c r="P57" s="154">
        <v>0</v>
      </c>
      <c r="Q57" s="154">
        <f>ROUND(E57*P57,2)</f>
        <v>0</v>
      </c>
      <c r="R57" s="155"/>
      <c r="S57" s="155" t="s">
        <v>1198</v>
      </c>
      <c r="T57" s="155" t="s">
        <v>1198</v>
      </c>
      <c r="U57" s="155">
        <v>18.175000000000001</v>
      </c>
      <c r="V57" s="155">
        <f>ROUND(E57*U57,2)</f>
        <v>4.25</v>
      </c>
      <c r="W57" s="155"/>
      <c r="X57" s="155" t="s">
        <v>143</v>
      </c>
      <c r="Y57" s="155" t="s">
        <v>144</v>
      </c>
      <c r="Z57" s="145"/>
      <c r="AA57" s="145"/>
      <c r="AB57" s="145"/>
      <c r="AC57" s="145"/>
      <c r="AD57" s="145"/>
      <c r="AE57" s="145"/>
      <c r="AF57" s="145"/>
      <c r="AG57" s="145" t="s">
        <v>145</v>
      </c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2" x14ac:dyDescent="0.25">
      <c r="A58" s="152"/>
      <c r="B58" s="153"/>
      <c r="C58" s="186" t="s">
        <v>300</v>
      </c>
      <c r="D58" s="184"/>
      <c r="E58" s="185">
        <v>0.2341</v>
      </c>
      <c r="F58" s="155"/>
      <c r="G58" s="155"/>
      <c r="H58" s="155"/>
      <c r="I58" s="155"/>
      <c r="J58" s="155"/>
      <c r="K58" s="155"/>
      <c r="L58" s="155"/>
      <c r="M58" s="155"/>
      <c r="N58" s="154"/>
      <c r="O58" s="251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5"/>
      <c r="AA58" s="145"/>
      <c r="AB58" s="145"/>
      <c r="AC58" s="145"/>
      <c r="AD58" s="145"/>
      <c r="AE58" s="145"/>
      <c r="AF58" s="145"/>
      <c r="AG58" s="145" t="s">
        <v>170</v>
      </c>
      <c r="AH58" s="145">
        <v>0</v>
      </c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ht="20.399999999999999" outlineLevel="1" x14ac:dyDescent="0.25">
      <c r="A59" s="166">
        <v>31</v>
      </c>
      <c r="B59" s="167" t="s">
        <v>301</v>
      </c>
      <c r="C59" s="180" t="s">
        <v>302</v>
      </c>
      <c r="D59" s="168" t="s">
        <v>178</v>
      </c>
      <c r="E59" s="169">
        <v>14.95</v>
      </c>
      <c r="F59" s="170"/>
      <c r="G59" s="171">
        <f>ROUND(E59*F59,2)</f>
        <v>0</v>
      </c>
      <c r="H59" s="156">
        <v>2325</v>
      </c>
      <c r="I59" s="155">
        <f>ROUND(E59*H59,2)</f>
        <v>34758.75</v>
      </c>
      <c r="J59" s="156">
        <v>0</v>
      </c>
      <c r="K59" s="155">
        <f>ROUND(E59*J59,2)</f>
        <v>0</v>
      </c>
      <c r="L59" s="155">
        <v>21</v>
      </c>
      <c r="M59" s="155">
        <f>G59*(1+L59/100)</f>
        <v>0</v>
      </c>
      <c r="N59" s="154">
        <v>2.5770000000000001E-2</v>
      </c>
      <c r="O59" s="251">
        <f>ROUND(E59*N59,2)</f>
        <v>0.39</v>
      </c>
      <c r="P59" s="154">
        <v>0</v>
      </c>
      <c r="Q59" s="154">
        <f>ROUND(E59*P59,2)</f>
        <v>0</v>
      </c>
      <c r="R59" s="155"/>
      <c r="S59" s="155" t="s">
        <v>141</v>
      </c>
      <c r="T59" s="155" t="s">
        <v>1198</v>
      </c>
      <c r="U59" s="155">
        <v>0</v>
      </c>
      <c r="V59" s="155">
        <f>ROUND(E59*U59,2)</f>
        <v>0</v>
      </c>
      <c r="W59" s="155"/>
      <c r="X59" s="155" t="s">
        <v>174</v>
      </c>
      <c r="Y59" s="155" t="s">
        <v>144</v>
      </c>
      <c r="Z59" s="145"/>
      <c r="AA59" s="145"/>
      <c r="AB59" s="145"/>
      <c r="AC59" s="145"/>
      <c r="AD59" s="145"/>
      <c r="AE59" s="145"/>
      <c r="AF59" s="145"/>
      <c r="AG59" s="145" t="s">
        <v>175</v>
      </c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2" x14ac:dyDescent="0.25">
      <c r="A60" s="152"/>
      <c r="B60" s="153"/>
      <c r="C60" s="186" t="s">
        <v>303</v>
      </c>
      <c r="D60" s="184"/>
      <c r="E60" s="185">
        <v>14.95</v>
      </c>
      <c r="F60" s="155"/>
      <c r="G60" s="155"/>
      <c r="H60" s="155"/>
      <c r="I60" s="155"/>
      <c r="J60" s="155"/>
      <c r="K60" s="155"/>
      <c r="L60" s="155"/>
      <c r="M60" s="155"/>
      <c r="N60" s="154"/>
      <c r="O60" s="251"/>
      <c r="P60" s="154"/>
      <c r="Q60" s="154"/>
      <c r="R60" s="155"/>
      <c r="S60" s="155"/>
      <c r="T60" s="155"/>
      <c r="U60" s="155"/>
      <c r="V60" s="155"/>
      <c r="W60" s="155"/>
      <c r="X60" s="155"/>
      <c r="Y60" s="155"/>
      <c r="Z60" s="145"/>
      <c r="AA60" s="145"/>
      <c r="AB60" s="145"/>
      <c r="AC60" s="145"/>
      <c r="AD60" s="145"/>
      <c r="AE60" s="145"/>
      <c r="AF60" s="145"/>
      <c r="AG60" s="145" t="s">
        <v>170</v>
      </c>
      <c r="AH60" s="145">
        <v>0</v>
      </c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5">
      <c r="A61" s="166">
        <v>32</v>
      </c>
      <c r="B61" s="167" t="s">
        <v>304</v>
      </c>
      <c r="C61" s="180" t="s">
        <v>305</v>
      </c>
      <c r="D61" s="168" t="s">
        <v>267</v>
      </c>
      <c r="E61" s="169">
        <v>1.806E-2</v>
      </c>
      <c r="F61" s="170"/>
      <c r="G61" s="171">
        <f>ROUND(E61*F61,2)</f>
        <v>0</v>
      </c>
      <c r="H61" s="156">
        <v>38600</v>
      </c>
      <c r="I61" s="155">
        <f>ROUND(E61*H61,2)</f>
        <v>697.12</v>
      </c>
      <c r="J61" s="156">
        <v>0</v>
      </c>
      <c r="K61" s="155">
        <f>ROUND(E61*J61,2)</f>
        <v>0</v>
      </c>
      <c r="L61" s="155">
        <v>21</v>
      </c>
      <c r="M61" s="155">
        <f>G61*(1+L61/100)</f>
        <v>0</v>
      </c>
      <c r="N61" s="154">
        <v>1</v>
      </c>
      <c r="O61" s="251">
        <f>ROUND(E61*N61,2)</f>
        <v>0.02</v>
      </c>
      <c r="P61" s="154">
        <v>0</v>
      </c>
      <c r="Q61" s="154">
        <f>ROUND(E61*P61,2)</f>
        <v>0</v>
      </c>
      <c r="R61" s="155" t="s">
        <v>173</v>
      </c>
      <c r="S61" s="155" t="s">
        <v>1198</v>
      </c>
      <c r="T61" s="155" t="s">
        <v>1198</v>
      </c>
      <c r="U61" s="155">
        <v>0</v>
      </c>
      <c r="V61" s="155">
        <f>ROUND(E61*U61,2)</f>
        <v>0</v>
      </c>
      <c r="W61" s="155"/>
      <c r="X61" s="155" t="s">
        <v>174</v>
      </c>
      <c r="Y61" s="155" t="s">
        <v>144</v>
      </c>
      <c r="Z61" s="145"/>
      <c r="AA61" s="145"/>
      <c r="AB61" s="145"/>
      <c r="AC61" s="145"/>
      <c r="AD61" s="145"/>
      <c r="AE61" s="145"/>
      <c r="AF61" s="145"/>
      <c r="AG61" s="145" t="s">
        <v>175</v>
      </c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2" x14ac:dyDescent="0.25">
      <c r="A62" s="152"/>
      <c r="B62" s="153"/>
      <c r="C62" s="186" t="s">
        <v>306</v>
      </c>
      <c r="D62" s="184"/>
      <c r="E62" s="185">
        <v>1.806E-2</v>
      </c>
      <c r="F62" s="155"/>
      <c r="G62" s="171"/>
      <c r="H62" s="155"/>
      <c r="I62" s="155"/>
      <c r="J62" s="155"/>
      <c r="K62" s="155"/>
      <c r="L62" s="155"/>
      <c r="M62" s="155"/>
      <c r="N62" s="154"/>
      <c r="O62" s="251"/>
      <c r="P62" s="154"/>
      <c r="Q62" s="154"/>
      <c r="R62" s="155"/>
      <c r="S62" s="155"/>
      <c r="T62" s="155"/>
      <c r="U62" s="155"/>
      <c r="V62" s="155"/>
      <c r="W62" s="155"/>
      <c r="X62" s="155"/>
      <c r="Y62" s="155"/>
      <c r="Z62" s="145"/>
      <c r="AA62" s="145"/>
      <c r="AB62" s="145"/>
      <c r="AC62" s="145"/>
      <c r="AD62" s="145"/>
      <c r="AE62" s="145"/>
      <c r="AF62" s="145"/>
      <c r="AG62" s="145" t="s">
        <v>170</v>
      </c>
      <c r="AH62" s="145">
        <v>0</v>
      </c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ht="20.399999999999999" outlineLevel="2" x14ac:dyDescent="0.25">
      <c r="A63" s="246" t="s">
        <v>1190</v>
      </c>
      <c r="B63" s="247" t="s">
        <v>1186</v>
      </c>
      <c r="C63" s="248" t="s">
        <v>1187</v>
      </c>
      <c r="D63" s="249" t="s">
        <v>165</v>
      </c>
      <c r="E63" s="250">
        <v>1</v>
      </c>
      <c r="F63" s="170"/>
      <c r="G63" s="171">
        <f t="shared" ref="G63:G64" si="8">ROUND(E63*F63,2)</f>
        <v>0</v>
      </c>
      <c r="H63" s="155"/>
      <c r="I63" s="155"/>
      <c r="J63" s="155"/>
      <c r="K63" s="155"/>
      <c r="L63" s="155"/>
      <c r="M63" s="155"/>
      <c r="N63" s="154">
        <v>0.37564999999999998</v>
      </c>
      <c r="O63" s="251">
        <f>ROUND(E63*N63,2)</f>
        <v>0.38</v>
      </c>
      <c r="P63" s="154"/>
      <c r="Q63" s="154"/>
      <c r="R63" s="155"/>
      <c r="S63" s="155" t="s">
        <v>1198</v>
      </c>
      <c r="T63" s="155" t="s">
        <v>1198</v>
      </c>
      <c r="U63" s="155"/>
      <c r="V63" s="155"/>
      <c r="W63" s="155"/>
      <c r="X63" s="155"/>
      <c r="Y63" s="15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ht="20.399999999999999" outlineLevel="2" x14ac:dyDescent="0.25">
      <c r="A64" s="246" t="s">
        <v>1191</v>
      </c>
      <c r="B64" s="247" t="s">
        <v>1188</v>
      </c>
      <c r="C64" s="248" t="s">
        <v>1189</v>
      </c>
      <c r="D64" s="249" t="s">
        <v>165</v>
      </c>
      <c r="E64" s="250">
        <v>1.3859999999999999</v>
      </c>
      <c r="F64" s="170"/>
      <c r="G64" s="171">
        <f t="shared" si="8"/>
        <v>0</v>
      </c>
      <c r="H64" s="155"/>
      <c r="I64" s="155"/>
      <c r="J64" s="155"/>
      <c r="K64" s="155"/>
      <c r="L64" s="155"/>
      <c r="M64" s="155"/>
      <c r="N64" s="154">
        <v>0.37564999999999998</v>
      </c>
      <c r="O64" s="251">
        <f>ROUND(E64*N64,2)</f>
        <v>0.52</v>
      </c>
      <c r="P64" s="154"/>
      <c r="Q64" s="154"/>
      <c r="R64" s="155"/>
      <c r="S64" s="155" t="s">
        <v>1198</v>
      </c>
      <c r="T64" s="155" t="s">
        <v>1198</v>
      </c>
      <c r="U64" s="155"/>
      <c r="V64" s="155"/>
      <c r="W64" s="155"/>
      <c r="X64" s="155"/>
      <c r="Y64" s="15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5">
      <c r="A65" s="166">
        <v>33</v>
      </c>
      <c r="B65" s="167" t="s">
        <v>307</v>
      </c>
      <c r="C65" s="180" t="s">
        <v>308</v>
      </c>
      <c r="D65" s="168" t="s">
        <v>178</v>
      </c>
      <c r="E65" s="169">
        <v>39.1</v>
      </c>
      <c r="F65" s="170"/>
      <c r="G65" s="171">
        <f>ROUND(E65*F65,2)</f>
        <v>0</v>
      </c>
      <c r="H65" s="156">
        <v>49.02</v>
      </c>
      <c r="I65" s="155">
        <f>ROUND(E65*H65,2)</f>
        <v>1916.68</v>
      </c>
      <c r="J65" s="156">
        <v>71.48</v>
      </c>
      <c r="K65" s="155">
        <f>ROUND(E65*J65,2)</f>
        <v>2794.87</v>
      </c>
      <c r="L65" s="155">
        <v>21</v>
      </c>
      <c r="M65" s="155">
        <f>G65*(1+L65/100)</f>
        <v>0</v>
      </c>
      <c r="N65" s="154">
        <v>2.7999999999999998E-4</v>
      </c>
      <c r="O65" s="251">
        <f>ROUND(E65*N65,2)</f>
        <v>0.01</v>
      </c>
      <c r="P65" s="154">
        <v>0</v>
      </c>
      <c r="Q65" s="154">
        <f>ROUND(E65*P65,2)</f>
        <v>0</v>
      </c>
      <c r="R65" s="155"/>
      <c r="S65" s="155" t="s">
        <v>1198</v>
      </c>
      <c r="T65" s="155" t="s">
        <v>1198</v>
      </c>
      <c r="U65" s="155">
        <v>0.15</v>
      </c>
      <c r="V65" s="155">
        <f>ROUND(E65*U65,2)</f>
        <v>5.87</v>
      </c>
      <c r="W65" s="155"/>
      <c r="X65" s="155" t="s">
        <v>143</v>
      </c>
      <c r="Y65" s="155" t="s">
        <v>144</v>
      </c>
      <c r="Z65" s="145"/>
      <c r="AA65" s="145"/>
      <c r="AB65" s="145"/>
      <c r="AC65" s="145"/>
      <c r="AD65" s="145"/>
      <c r="AE65" s="145"/>
      <c r="AF65" s="145"/>
      <c r="AG65" s="145" t="s">
        <v>145</v>
      </c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2" x14ac:dyDescent="0.25">
      <c r="A66" s="152"/>
      <c r="B66" s="153"/>
      <c r="C66" s="186" t="s">
        <v>309</v>
      </c>
      <c r="D66" s="184"/>
      <c r="E66" s="185">
        <v>39.1</v>
      </c>
      <c r="F66" s="155"/>
      <c r="G66" s="155"/>
      <c r="H66" s="155"/>
      <c r="I66" s="155"/>
      <c r="J66" s="155"/>
      <c r="K66" s="155"/>
      <c r="L66" s="155"/>
      <c r="M66" s="155"/>
      <c r="N66" s="154"/>
      <c r="O66" s="251"/>
      <c r="P66" s="154"/>
      <c r="Q66" s="154"/>
      <c r="R66" s="155"/>
      <c r="S66" s="155"/>
      <c r="T66" s="155"/>
      <c r="U66" s="155"/>
      <c r="V66" s="155"/>
      <c r="W66" s="155"/>
      <c r="X66" s="155"/>
      <c r="Y66" s="155"/>
      <c r="Z66" s="145"/>
      <c r="AA66" s="145"/>
      <c r="AB66" s="145"/>
      <c r="AC66" s="145"/>
      <c r="AD66" s="145"/>
      <c r="AE66" s="145"/>
      <c r="AF66" s="145"/>
      <c r="AG66" s="145" t="s">
        <v>170</v>
      </c>
      <c r="AH66" s="145">
        <v>0</v>
      </c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x14ac:dyDescent="0.25">
      <c r="A67" s="159" t="s">
        <v>136</v>
      </c>
      <c r="B67" s="160" t="s">
        <v>69</v>
      </c>
      <c r="C67" s="178" t="s">
        <v>70</v>
      </c>
      <c r="D67" s="161"/>
      <c r="E67" s="162"/>
      <c r="F67" s="163"/>
      <c r="G67" s="164">
        <f>SUMIF(AG68:AG86,"&lt;&gt;NOR",G68:G86)</f>
        <v>0</v>
      </c>
      <c r="H67" s="158"/>
      <c r="I67" s="158">
        <f>SUM(I68:I86)</f>
        <v>96315.73</v>
      </c>
      <c r="J67" s="158"/>
      <c r="K67" s="158">
        <f>SUM(K68:K86)</f>
        <v>75766.5</v>
      </c>
      <c r="L67" s="158"/>
      <c r="M67" s="158">
        <f>SUM(M68:M86)</f>
        <v>0</v>
      </c>
      <c r="N67" s="157"/>
      <c r="O67" s="252">
        <f>SUM(O68:O86)</f>
        <v>14.14</v>
      </c>
      <c r="P67" s="157"/>
      <c r="Q67" s="157">
        <f>SUM(Q68:Q86)</f>
        <v>0</v>
      </c>
      <c r="R67" s="158"/>
      <c r="S67" s="158"/>
      <c r="T67" s="158"/>
      <c r="U67" s="158"/>
      <c r="V67" s="158">
        <f>SUM(V68:V86)</f>
        <v>150.79</v>
      </c>
      <c r="W67" s="158"/>
      <c r="X67" s="158"/>
      <c r="Y67" s="158"/>
      <c r="AG67" t="s">
        <v>137</v>
      </c>
    </row>
    <row r="68" spans="1:60" outlineLevel="1" x14ac:dyDescent="0.25">
      <c r="A68" s="166">
        <v>34</v>
      </c>
      <c r="B68" s="167" t="s">
        <v>310</v>
      </c>
      <c r="C68" s="180" t="s">
        <v>311</v>
      </c>
      <c r="D68" s="168" t="s">
        <v>267</v>
      </c>
      <c r="E68" s="169">
        <v>1.0693999999999999</v>
      </c>
      <c r="F68" s="170"/>
      <c r="G68" s="171">
        <f>ROUND(E68*F68,2)</f>
        <v>0</v>
      </c>
      <c r="H68" s="156">
        <v>26.41</v>
      </c>
      <c r="I68" s="155">
        <f>ROUND(E68*H68,2)</f>
        <v>28.24</v>
      </c>
      <c r="J68" s="156">
        <v>11463.59</v>
      </c>
      <c r="K68" s="155">
        <f>ROUND(E68*J68,2)</f>
        <v>12259.16</v>
      </c>
      <c r="L68" s="155">
        <v>21</v>
      </c>
      <c r="M68" s="155">
        <f>G68*(1+L68/100)</f>
        <v>0</v>
      </c>
      <c r="N68" s="154">
        <v>1.6629999999999999E-2</v>
      </c>
      <c r="O68" s="251">
        <f>ROUND(E68*N68,2)</f>
        <v>0.02</v>
      </c>
      <c r="P68" s="154">
        <v>0</v>
      </c>
      <c r="Q68" s="154">
        <f>ROUND(E68*P68,2)</f>
        <v>0</v>
      </c>
      <c r="R68" s="155"/>
      <c r="S68" s="155" t="s">
        <v>1198</v>
      </c>
      <c r="T68" s="155" t="s">
        <v>1198</v>
      </c>
      <c r="U68" s="155">
        <v>16.582999999999998</v>
      </c>
      <c r="V68" s="155">
        <f>ROUND(E68*U68,2)</f>
        <v>17.73</v>
      </c>
      <c r="W68" s="155"/>
      <c r="X68" s="155" t="s">
        <v>143</v>
      </c>
      <c r="Y68" s="155" t="s">
        <v>144</v>
      </c>
      <c r="Z68" s="145"/>
      <c r="AA68" s="145"/>
      <c r="AB68" s="145"/>
      <c r="AC68" s="145"/>
      <c r="AD68" s="145"/>
      <c r="AE68" s="145"/>
      <c r="AF68" s="145"/>
      <c r="AG68" s="145" t="s">
        <v>145</v>
      </c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2" x14ac:dyDescent="0.25">
      <c r="A69" s="152"/>
      <c r="B69" s="153"/>
      <c r="C69" s="186" t="s">
        <v>312</v>
      </c>
      <c r="D69" s="184"/>
      <c r="E69" s="185">
        <v>1.0693999999999999</v>
      </c>
      <c r="F69" s="155"/>
      <c r="G69" s="155"/>
      <c r="H69" s="155"/>
      <c r="I69" s="155"/>
      <c r="J69" s="155"/>
      <c r="K69" s="155"/>
      <c r="L69" s="155"/>
      <c r="M69" s="155"/>
      <c r="N69" s="154"/>
      <c r="O69" s="251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5"/>
      <c r="AA69" s="145"/>
      <c r="AB69" s="145"/>
      <c r="AC69" s="145"/>
      <c r="AD69" s="145"/>
      <c r="AE69" s="145"/>
      <c r="AF69" s="145"/>
      <c r="AG69" s="145" t="s">
        <v>170</v>
      </c>
      <c r="AH69" s="145">
        <v>0</v>
      </c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5">
      <c r="A70" s="166">
        <v>35</v>
      </c>
      <c r="B70" s="167" t="s">
        <v>313</v>
      </c>
      <c r="C70" s="180" t="s">
        <v>314</v>
      </c>
      <c r="D70" s="168" t="s">
        <v>267</v>
      </c>
      <c r="E70" s="169">
        <v>1.2236</v>
      </c>
      <c r="F70" s="170"/>
      <c r="G70" s="171">
        <f>ROUND(E70*F70,2)</f>
        <v>0</v>
      </c>
      <c r="H70" s="156">
        <v>46450</v>
      </c>
      <c r="I70" s="155">
        <f>ROUND(E70*H70,2)</f>
        <v>56836.22</v>
      </c>
      <c r="J70" s="156">
        <v>0</v>
      </c>
      <c r="K70" s="155">
        <f>ROUND(E70*J70,2)</f>
        <v>0</v>
      </c>
      <c r="L70" s="155">
        <v>21</v>
      </c>
      <c r="M70" s="155">
        <f>G70*(1+L70/100)</f>
        <v>0</v>
      </c>
      <c r="N70" s="154">
        <v>1</v>
      </c>
      <c r="O70" s="251">
        <f>ROUND(E70*N70,2)</f>
        <v>1.22</v>
      </c>
      <c r="P70" s="154">
        <v>0</v>
      </c>
      <c r="Q70" s="154">
        <f>ROUND(E70*P70,2)</f>
        <v>0</v>
      </c>
      <c r="R70" s="155" t="s">
        <v>173</v>
      </c>
      <c r="S70" s="155" t="s">
        <v>1198</v>
      </c>
      <c r="T70" s="155" t="s">
        <v>1198</v>
      </c>
      <c r="U70" s="155">
        <v>0</v>
      </c>
      <c r="V70" s="155">
        <f>ROUND(E70*U70,2)</f>
        <v>0</v>
      </c>
      <c r="W70" s="155"/>
      <c r="X70" s="155" t="s">
        <v>174</v>
      </c>
      <c r="Y70" s="155" t="s">
        <v>144</v>
      </c>
      <c r="Z70" s="145"/>
      <c r="AA70" s="145"/>
      <c r="AB70" s="145"/>
      <c r="AC70" s="145"/>
      <c r="AD70" s="145"/>
      <c r="AE70" s="145"/>
      <c r="AF70" s="145"/>
      <c r="AG70" s="145" t="s">
        <v>175</v>
      </c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2" x14ac:dyDescent="0.25">
      <c r="A71" s="152"/>
      <c r="B71" s="153"/>
      <c r="C71" s="186" t="s">
        <v>315</v>
      </c>
      <c r="D71" s="184"/>
      <c r="E71" s="185">
        <v>1.2236</v>
      </c>
      <c r="F71" s="155"/>
      <c r="G71" s="155"/>
      <c r="H71" s="155"/>
      <c r="I71" s="155"/>
      <c r="J71" s="155"/>
      <c r="K71" s="155"/>
      <c r="L71" s="155"/>
      <c r="M71" s="155"/>
      <c r="N71" s="154"/>
      <c r="O71" s="251"/>
      <c r="P71" s="154"/>
      <c r="Q71" s="154"/>
      <c r="R71" s="155"/>
      <c r="S71" s="155"/>
      <c r="T71" s="155"/>
      <c r="U71" s="155"/>
      <c r="V71" s="155"/>
      <c r="W71" s="155"/>
      <c r="X71" s="155"/>
      <c r="Y71" s="155"/>
      <c r="Z71" s="145"/>
      <c r="AA71" s="145"/>
      <c r="AB71" s="145"/>
      <c r="AC71" s="145"/>
      <c r="AD71" s="145"/>
      <c r="AE71" s="145"/>
      <c r="AF71" s="145"/>
      <c r="AG71" s="145" t="s">
        <v>170</v>
      </c>
      <c r="AH71" s="145">
        <v>0</v>
      </c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 x14ac:dyDescent="0.25">
      <c r="A72" s="166">
        <v>36</v>
      </c>
      <c r="B72" s="167" t="s">
        <v>316</v>
      </c>
      <c r="C72" s="180" t="s">
        <v>317</v>
      </c>
      <c r="D72" s="168" t="s">
        <v>267</v>
      </c>
      <c r="E72" s="169">
        <v>6.2100000000000002E-3</v>
      </c>
      <c r="F72" s="170"/>
      <c r="G72" s="171">
        <f>ROUND(E72*F72,2)</f>
        <v>0</v>
      </c>
      <c r="H72" s="156">
        <v>38600</v>
      </c>
      <c r="I72" s="155">
        <f>ROUND(E72*H72,2)</f>
        <v>239.71</v>
      </c>
      <c r="J72" s="156">
        <v>0</v>
      </c>
      <c r="K72" s="155">
        <f>ROUND(E72*J72,2)</f>
        <v>0</v>
      </c>
      <c r="L72" s="155">
        <v>21</v>
      </c>
      <c r="M72" s="155">
        <f>G72*(1+L72/100)</f>
        <v>0</v>
      </c>
      <c r="N72" s="154">
        <v>1</v>
      </c>
      <c r="O72" s="251">
        <f>ROUND(E72*N72,2)</f>
        <v>0.01</v>
      </c>
      <c r="P72" s="154">
        <v>0</v>
      </c>
      <c r="Q72" s="154">
        <f>ROUND(E72*P72,2)</f>
        <v>0</v>
      </c>
      <c r="R72" s="155" t="s">
        <v>173</v>
      </c>
      <c r="S72" s="155" t="s">
        <v>1198</v>
      </c>
      <c r="T72" s="155" t="s">
        <v>1198</v>
      </c>
      <c r="U72" s="155">
        <v>0</v>
      </c>
      <c r="V72" s="155">
        <f>ROUND(E72*U72,2)</f>
        <v>0</v>
      </c>
      <c r="W72" s="155"/>
      <c r="X72" s="155" t="s">
        <v>174</v>
      </c>
      <c r="Y72" s="155" t="s">
        <v>144</v>
      </c>
      <c r="Z72" s="145"/>
      <c r="AA72" s="145"/>
      <c r="AB72" s="145"/>
      <c r="AC72" s="145"/>
      <c r="AD72" s="145"/>
      <c r="AE72" s="145"/>
      <c r="AF72" s="145"/>
      <c r="AG72" s="145" t="s">
        <v>175</v>
      </c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2" x14ac:dyDescent="0.25">
      <c r="A73" s="152"/>
      <c r="B73" s="153"/>
      <c r="C73" s="186" t="s">
        <v>318</v>
      </c>
      <c r="D73" s="184"/>
      <c r="E73" s="185">
        <v>6.2100000000000002E-3</v>
      </c>
      <c r="F73" s="155"/>
      <c r="G73" s="155"/>
      <c r="H73" s="155"/>
      <c r="I73" s="155"/>
      <c r="J73" s="155"/>
      <c r="K73" s="155"/>
      <c r="L73" s="155"/>
      <c r="M73" s="155"/>
      <c r="N73" s="154"/>
      <c r="O73" s="251"/>
      <c r="P73" s="154"/>
      <c r="Q73" s="154"/>
      <c r="R73" s="155"/>
      <c r="S73" s="155"/>
      <c r="T73" s="155"/>
      <c r="U73" s="155"/>
      <c r="V73" s="155"/>
      <c r="W73" s="155"/>
      <c r="X73" s="155"/>
      <c r="Y73" s="155"/>
      <c r="Z73" s="145"/>
      <c r="AA73" s="145"/>
      <c r="AB73" s="145"/>
      <c r="AC73" s="145"/>
      <c r="AD73" s="145"/>
      <c r="AE73" s="145"/>
      <c r="AF73" s="145"/>
      <c r="AG73" s="145" t="s">
        <v>170</v>
      </c>
      <c r="AH73" s="145">
        <v>0</v>
      </c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1" x14ac:dyDescent="0.25">
      <c r="A74" s="166">
        <v>37</v>
      </c>
      <c r="B74" s="167" t="s">
        <v>319</v>
      </c>
      <c r="C74" s="180" t="s">
        <v>320</v>
      </c>
      <c r="D74" s="168" t="s">
        <v>241</v>
      </c>
      <c r="E74" s="169">
        <v>3.0666600000000002</v>
      </c>
      <c r="F74" s="170"/>
      <c r="G74" s="171">
        <f>ROUND(E74*F74,2)</f>
        <v>0</v>
      </c>
      <c r="H74" s="156">
        <v>3246.57</v>
      </c>
      <c r="I74" s="155">
        <f>ROUND(E74*H74,2)</f>
        <v>9956.1299999999992</v>
      </c>
      <c r="J74" s="156">
        <v>723.43</v>
      </c>
      <c r="K74" s="155">
        <f>ROUND(E74*J74,2)</f>
        <v>2218.5100000000002</v>
      </c>
      <c r="L74" s="155">
        <v>21</v>
      </c>
      <c r="M74" s="155">
        <f>G74*(1+L74/100)</f>
        <v>0</v>
      </c>
      <c r="N74" s="154">
        <v>2.5251100000000002</v>
      </c>
      <c r="O74" s="251">
        <f>ROUND(E74*N74,2)</f>
        <v>7.74</v>
      </c>
      <c r="P74" s="154">
        <v>0</v>
      </c>
      <c r="Q74" s="154">
        <f>ROUND(E74*P74,2)</f>
        <v>0</v>
      </c>
      <c r="R74" s="155"/>
      <c r="S74" s="155" t="s">
        <v>1198</v>
      </c>
      <c r="T74" s="155" t="s">
        <v>1198</v>
      </c>
      <c r="U74" s="155">
        <v>1.45</v>
      </c>
      <c r="V74" s="155">
        <f>ROUND(E74*U74,2)</f>
        <v>4.45</v>
      </c>
      <c r="W74" s="155"/>
      <c r="X74" s="155" t="s">
        <v>143</v>
      </c>
      <c r="Y74" s="155" t="s">
        <v>144</v>
      </c>
      <c r="Z74" s="145"/>
      <c r="AA74" s="145"/>
      <c r="AB74" s="145"/>
      <c r="AC74" s="145"/>
      <c r="AD74" s="145"/>
      <c r="AE74" s="145"/>
      <c r="AF74" s="145"/>
      <c r="AG74" s="145" t="s">
        <v>145</v>
      </c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2" x14ac:dyDescent="0.25">
      <c r="A75" s="152"/>
      <c r="B75" s="153"/>
      <c r="C75" s="186" t="s">
        <v>321</v>
      </c>
      <c r="D75" s="184"/>
      <c r="E75" s="185">
        <v>0.21525</v>
      </c>
      <c r="F75" s="155"/>
      <c r="G75" s="155"/>
      <c r="H75" s="155"/>
      <c r="I75" s="155"/>
      <c r="J75" s="155"/>
      <c r="K75" s="155"/>
      <c r="L75" s="155"/>
      <c r="M75" s="155"/>
      <c r="N75" s="154"/>
      <c r="O75" s="251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45"/>
      <c r="AA75" s="145"/>
      <c r="AB75" s="145"/>
      <c r="AC75" s="145"/>
      <c r="AD75" s="145"/>
      <c r="AE75" s="145"/>
      <c r="AF75" s="145"/>
      <c r="AG75" s="145" t="s">
        <v>170</v>
      </c>
      <c r="AH75" s="145">
        <v>0</v>
      </c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3" x14ac:dyDescent="0.25">
      <c r="A76" s="152"/>
      <c r="B76" s="153"/>
      <c r="C76" s="186" t="s">
        <v>322</v>
      </c>
      <c r="D76" s="184"/>
      <c r="E76" s="185">
        <v>0.26906000000000002</v>
      </c>
      <c r="F76" s="155"/>
      <c r="G76" s="155"/>
      <c r="H76" s="155"/>
      <c r="I76" s="155"/>
      <c r="J76" s="155"/>
      <c r="K76" s="155"/>
      <c r="L76" s="155"/>
      <c r="M76" s="155"/>
      <c r="N76" s="154"/>
      <c r="O76" s="251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45"/>
      <c r="AA76" s="145"/>
      <c r="AB76" s="145"/>
      <c r="AC76" s="145"/>
      <c r="AD76" s="145"/>
      <c r="AE76" s="145"/>
      <c r="AF76" s="145"/>
      <c r="AG76" s="145" t="s">
        <v>170</v>
      </c>
      <c r="AH76" s="145">
        <v>0</v>
      </c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3" x14ac:dyDescent="0.25">
      <c r="A77" s="152"/>
      <c r="B77" s="153"/>
      <c r="C77" s="186" t="s">
        <v>323</v>
      </c>
      <c r="D77" s="184"/>
      <c r="E77" s="185">
        <v>0.28547</v>
      </c>
      <c r="F77" s="155"/>
      <c r="G77" s="155"/>
      <c r="H77" s="155"/>
      <c r="I77" s="155"/>
      <c r="J77" s="155"/>
      <c r="K77" s="155"/>
      <c r="L77" s="155"/>
      <c r="M77" s="155"/>
      <c r="N77" s="154"/>
      <c r="O77" s="251"/>
      <c r="P77" s="154"/>
      <c r="Q77" s="154"/>
      <c r="R77" s="155"/>
      <c r="S77" s="155"/>
      <c r="T77" s="155"/>
      <c r="U77" s="155"/>
      <c r="V77" s="155"/>
      <c r="W77" s="155"/>
      <c r="X77" s="155"/>
      <c r="Y77" s="155"/>
      <c r="Z77" s="145"/>
      <c r="AA77" s="145"/>
      <c r="AB77" s="145"/>
      <c r="AC77" s="145"/>
      <c r="AD77" s="145"/>
      <c r="AE77" s="145"/>
      <c r="AF77" s="145"/>
      <c r="AG77" s="145" t="s">
        <v>170</v>
      </c>
      <c r="AH77" s="145">
        <v>0</v>
      </c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3" x14ac:dyDescent="0.25">
      <c r="A78" s="152"/>
      <c r="B78" s="153"/>
      <c r="C78" s="186" t="s">
        <v>324</v>
      </c>
      <c r="D78" s="184"/>
      <c r="E78" s="185">
        <v>0.26906000000000002</v>
      </c>
      <c r="F78" s="155"/>
      <c r="G78" s="155"/>
      <c r="H78" s="155"/>
      <c r="I78" s="155"/>
      <c r="J78" s="155"/>
      <c r="K78" s="155"/>
      <c r="L78" s="155"/>
      <c r="M78" s="155"/>
      <c r="N78" s="154"/>
      <c r="O78" s="251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45"/>
      <c r="AA78" s="145"/>
      <c r="AB78" s="145"/>
      <c r="AC78" s="145"/>
      <c r="AD78" s="145"/>
      <c r="AE78" s="145"/>
      <c r="AF78" s="145"/>
      <c r="AG78" s="145" t="s">
        <v>170</v>
      </c>
      <c r="AH78" s="145">
        <v>0</v>
      </c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3" x14ac:dyDescent="0.25">
      <c r="A79" s="152"/>
      <c r="B79" s="153"/>
      <c r="C79" s="186" t="s">
        <v>325</v>
      </c>
      <c r="D79" s="184"/>
      <c r="E79" s="185">
        <v>1.2553099999999999</v>
      </c>
      <c r="F79" s="155"/>
      <c r="G79" s="155"/>
      <c r="H79" s="155"/>
      <c r="I79" s="155"/>
      <c r="J79" s="155"/>
      <c r="K79" s="155"/>
      <c r="L79" s="155"/>
      <c r="M79" s="155"/>
      <c r="N79" s="154"/>
      <c r="O79" s="251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45"/>
      <c r="AA79" s="145"/>
      <c r="AB79" s="145"/>
      <c r="AC79" s="145"/>
      <c r="AD79" s="145"/>
      <c r="AE79" s="145"/>
      <c r="AF79" s="145"/>
      <c r="AG79" s="145" t="s">
        <v>170</v>
      </c>
      <c r="AH79" s="145">
        <v>0</v>
      </c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3" x14ac:dyDescent="0.25">
      <c r="A80" s="152"/>
      <c r="B80" s="153"/>
      <c r="C80" s="186" t="s">
        <v>326</v>
      </c>
      <c r="D80" s="184"/>
      <c r="E80" s="185">
        <v>0.77249999999999996</v>
      </c>
      <c r="F80" s="155"/>
      <c r="G80" s="155"/>
      <c r="H80" s="155"/>
      <c r="I80" s="155"/>
      <c r="J80" s="155"/>
      <c r="K80" s="155"/>
      <c r="L80" s="155"/>
      <c r="M80" s="155"/>
      <c r="N80" s="154"/>
      <c r="O80" s="251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5"/>
      <c r="AA80" s="145"/>
      <c r="AB80" s="145"/>
      <c r="AC80" s="145"/>
      <c r="AD80" s="145"/>
      <c r="AE80" s="145"/>
      <c r="AF80" s="145"/>
      <c r="AG80" s="145" t="s">
        <v>170</v>
      </c>
      <c r="AH80" s="145">
        <v>0</v>
      </c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5">
      <c r="A81" s="166">
        <v>38</v>
      </c>
      <c r="B81" s="167" t="s">
        <v>327</v>
      </c>
      <c r="C81" s="180" t="s">
        <v>328</v>
      </c>
      <c r="D81" s="168" t="s">
        <v>267</v>
      </c>
      <c r="E81" s="169">
        <v>0.42932999999999999</v>
      </c>
      <c r="F81" s="170"/>
      <c r="G81" s="171">
        <f>ROUND(E81*F81,2)</f>
        <v>0</v>
      </c>
      <c r="H81" s="156">
        <v>47260.21</v>
      </c>
      <c r="I81" s="155">
        <f>ROUND(E81*H81,2)</f>
        <v>20290.23</v>
      </c>
      <c r="J81" s="156">
        <v>15869.79</v>
      </c>
      <c r="K81" s="155">
        <f>ROUND(E81*J81,2)</f>
        <v>6813.38</v>
      </c>
      <c r="L81" s="155">
        <v>21</v>
      </c>
      <c r="M81" s="155">
        <f>G81*(1+L81/100)</f>
        <v>0</v>
      </c>
      <c r="N81" s="154">
        <v>1.0166500000000001</v>
      </c>
      <c r="O81" s="251">
        <f>ROUND(E81*N81,2)</f>
        <v>0.44</v>
      </c>
      <c r="P81" s="154">
        <v>0</v>
      </c>
      <c r="Q81" s="154">
        <f>ROUND(E81*P81,2)</f>
        <v>0</v>
      </c>
      <c r="R81" s="155"/>
      <c r="S81" s="155" t="s">
        <v>1198</v>
      </c>
      <c r="T81" s="155" t="s">
        <v>1198</v>
      </c>
      <c r="U81" s="155">
        <v>27.67</v>
      </c>
      <c r="V81" s="155">
        <f>ROUND(E81*U81,2)</f>
        <v>11.88</v>
      </c>
      <c r="W81" s="155"/>
      <c r="X81" s="155" t="s">
        <v>143</v>
      </c>
      <c r="Y81" s="155" t="s">
        <v>144</v>
      </c>
      <c r="Z81" s="145"/>
      <c r="AA81" s="145"/>
      <c r="AB81" s="145"/>
      <c r="AC81" s="145"/>
      <c r="AD81" s="145"/>
      <c r="AE81" s="145"/>
      <c r="AF81" s="145"/>
      <c r="AG81" s="145" t="s">
        <v>145</v>
      </c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2" x14ac:dyDescent="0.25">
      <c r="A82" s="152"/>
      <c r="B82" s="153"/>
      <c r="C82" s="186" t="s">
        <v>329</v>
      </c>
      <c r="D82" s="184"/>
      <c r="E82" s="185">
        <v>0.42932999999999999</v>
      </c>
      <c r="F82" s="155"/>
      <c r="G82" s="155"/>
      <c r="H82" s="155"/>
      <c r="I82" s="155"/>
      <c r="J82" s="155"/>
      <c r="K82" s="155"/>
      <c r="L82" s="155"/>
      <c r="M82" s="155"/>
      <c r="N82" s="154"/>
      <c r="O82" s="251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5"/>
      <c r="AA82" s="145"/>
      <c r="AB82" s="145"/>
      <c r="AC82" s="145"/>
      <c r="AD82" s="145"/>
      <c r="AE82" s="145"/>
      <c r="AF82" s="145"/>
      <c r="AG82" s="145" t="s">
        <v>170</v>
      </c>
      <c r="AH82" s="145">
        <v>0</v>
      </c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5">
      <c r="A83" s="166">
        <v>39</v>
      </c>
      <c r="B83" s="167" t="s">
        <v>330</v>
      </c>
      <c r="C83" s="180" t="s">
        <v>331</v>
      </c>
      <c r="D83" s="168" t="s">
        <v>178</v>
      </c>
      <c r="E83" s="169">
        <v>94.9</v>
      </c>
      <c r="F83" s="170"/>
      <c r="G83" s="171">
        <f>ROUND(E83*F83,2)</f>
        <v>0</v>
      </c>
      <c r="H83" s="156">
        <v>94.47</v>
      </c>
      <c r="I83" s="155">
        <f>ROUND(E83*H83,2)</f>
        <v>8965.2000000000007</v>
      </c>
      <c r="J83" s="156">
        <v>439.53</v>
      </c>
      <c r="K83" s="155">
        <f>ROUND(E83*J83,2)</f>
        <v>41711.4</v>
      </c>
      <c r="L83" s="155">
        <v>21</v>
      </c>
      <c r="M83" s="155">
        <f>G83*(1+L83/100)</f>
        <v>0</v>
      </c>
      <c r="N83" s="154">
        <v>4.965E-2</v>
      </c>
      <c r="O83" s="251">
        <f>ROUND(E83*N83,2)</f>
        <v>4.71</v>
      </c>
      <c r="P83" s="154">
        <v>0</v>
      </c>
      <c r="Q83" s="154">
        <f>ROUND(E83*P83,2)</f>
        <v>0</v>
      </c>
      <c r="R83" s="155"/>
      <c r="S83" s="155" t="s">
        <v>1198</v>
      </c>
      <c r="T83" s="155" t="s">
        <v>1198</v>
      </c>
      <c r="U83" s="155">
        <v>0.94</v>
      </c>
      <c r="V83" s="155">
        <f>ROUND(E83*U83,2)</f>
        <v>89.21</v>
      </c>
      <c r="W83" s="155"/>
      <c r="X83" s="155" t="s">
        <v>143</v>
      </c>
      <c r="Y83" s="155" t="s">
        <v>144</v>
      </c>
      <c r="Z83" s="145"/>
      <c r="AA83" s="145"/>
      <c r="AB83" s="145"/>
      <c r="AC83" s="145"/>
      <c r="AD83" s="145"/>
      <c r="AE83" s="145"/>
      <c r="AF83" s="145"/>
      <c r="AG83" s="145" t="s">
        <v>145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2" x14ac:dyDescent="0.25">
      <c r="A84" s="152"/>
      <c r="B84" s="153"/>
      <c r="C84" s="186" t="s">
        <v>332</v>
      </c>
      <c r="D84" s="184"/>
      <c r="E84" s="185">
        <v>94.9</v>
      </c>
      <c r="F84" s="155"/>
      <c r="G84" s="155"/>
      <c r="H84" s="155"/>
      <c r="I84" s="155"/>
      <c r="J84" s="155"/>
      <c r="K84" s="155"/>
      <c r="L84" s="155"/>
      <c r="M84" s="155"/>
      <c r="N84" s="154"/>
      <c r="O84" s="251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5"/>
      <c r="AA84" s="145"/>
      <c r="AB84" s="145"/>
      <c r="AC84" s="145"/>
      <c r="AD84" s="145"/>
      <c r="AE84" s="145"/>
      <c r="AF84" s="145"/>
      <c r="AG84" s="145" t="s">
        <v>170</v>
      </c>
      <c r="AH84" s="145">
        <v>0</v>
      </c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5">
      <c r="A85" s="166">
        <v>40</v>
      </c>
      <c r="B85" s="167" t="s">
        <v>333</v>
      </c>
      <c r="C85" s="180" t="s">
        <v>334</v>
      </c>
      <c r="D85" s="168" t="s">
        <v>178</v>
      </c>
      <c r="E85" s="169">
        <v>94.9</v>
      </c>
      <c r="F85" s="170"/>
      <c r="G85" s="171">
        <f>ROUND(E85*F85,2)</f>
        <v>0</v>
      </c>
      <c r="H85" s="156">
        <v>0</v>
      </c>
      <c r="I85" s="155">
        <f>ROUND(E85*H85,2)</f>
        <v>0</v>
      </c>
      <c r="J85" s="156">
        <v>134.5</v>
      </c>
      <c r="K85" s="155">
        <f>ROUND(E85*J85,2)</f>
        <v>12764.05</v>
      </c>
      <c r="L85" s="155">
        <v>21</v>
      </c>
      <c r="M85" s="155">
        <f>G85*(1+L85/100)</f>
        <v>0</v>
      </c>
      <c r="N85" s="154">
        <v>0</v>
      </c>
      <c r="O85" s="251">
        <f>ROUND(E85*N85,2)</f>
        <v>0</v>
      </c>
      <c r="P85" s="154">
        <v>0</v>
      </c>
      <c r="Q85" s="154">
        <f>ROUND(E85*P85,2)</f>
        <v>0</v>
      </c>
      <c r="R85" s="155"/>
      <c r="S85" s="155" t="s">
        <v>1198</v>
      </c>
      <c r="T85" s="155" t="s">
        <v>1198</v>
      </c>
      <c r="U85" s="155">
        <v>0.28999999999999998</v>
      </c>
      <c r="V85" s="155">
        <f>ROUND(E85*U85,2)</f>
        <v>27.52</v>
      </c>
      <c r="W85" s="155"/>
      <c r="X85" s="155" t="s">
        <v>143</v>
      </c>
      <c r="Y85" s="155" t="s">
        <v>144</v>
      </c>
      <c r="Z85" s="145"/>
      <c r="AA85" s="145"/>
      <c r="AB85" s="145"/>
      <c r="AC85" s="145"/>
      <c r="AD85" s="145"/>
      <c r="AE85" s="145"/>
      <c r="AF85" s="145"/>
      <c r="AG85" s="145" t="s">
        <v>145</v>
      </c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2" x14ac:dyDescent="0.25">
      <c r="A86" s="152"/>
      <c r="B86" s="153"/>
      <c r="C86" s="186" t="s">
        <v>335</v>
      </c>
      <c r="D86" s="184"/>
      <c r="E86" s="185">
        <v>94.9</v>
      </c>
      <c r="F86" s="155"/>
      <c r="G86" s="155"/>
      <c r="H86" s="155"/>
      <c r="I86" s="155"/>
      <c r="J86" s="155"/>
      <c r="K86" s="155"/>
      <c r="L86" s="155"/>
      <c r="M86" s="155"/>
      <c r="N86" s="154"/>
      <c r="O86" s="251"/>
      <c r="P86" s="154"/>
      <c r="Q86" s="154"/>
      <c r="R86" s="155"/>
      <c r="S86" s="155"/>
      <c r="T86" s="155"/>
      <c r="U86" s="155"/>
      <c r="V86" s="155"/>
      <c r="W86" s="155"/>
      <c r="X86" s="155"/>
      <c r="Y86" s="155"/>
      <c r="Z86" s="145"/>
      <c r="AA86" s="145"/>
      <c r="AB86" s="145"/>
      <c r="AC86" s="145"/>
      <c r="AD86" s="145"/>
      <c r="AE86" s="145"/>
      <c r="AF86" s="145"/>
      <c r="AG86" s="145" t="s">
        <v>170</v>
      </c>
      <c r="AH86" s="145">
        <v>5</v>
      </c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x14ac:dyDescent="0.25">
      <c r="A87" s="159" t="s">
        <v>136</v>
      </c>
      <c r="B87" s="160" t="s">
        <v>71</v>
      </c>
      <c r="C87" s="178" t="s">
        <v>72</v>
      </c>
      <c r="D87" s="161"/>
      <c r="E87" s="162"/>
      <c r="F87" s="163"/>
      <c r="G87" s="164">
        <f>SUMIF(AG88:AG89,"&lt;&gt;NOR",G88:G89)</f>
        <v>0</v>
      </c>
      <c r="H87" s="158"/>
      <c r="I87" s="158">
        <f>SUM(I88:I89)</f>
        <v>109.67</v>
      </c>
      <c r="J87" s="158"/>
      <c r="K87" s="158">
        <f>SUM(K88:K89)</f>
        <v>25.83</v>
      </c>
      <c r="L87" s="158"/>
      <c r="M87" s="158">
        <f>SUM(M88:M89)</f>
        <v>0</v>
      </c>
      <c r="N87" s="157"/>
      <c r="O87" s="252">
        <f>SUM(O88:O89)</f>
        <v>0.28999999999999998</v>
      </c>
      <c r="P87" s="157"/>
      <c r="Q87" s="157">
        <f>SUM(Q88:Q89)</f>
        <v>0</v>
      </c>
      <c r="R87" s="158"/>
      <c r="S87" s="158"/>
      <c r="T87" s="158"/>
      <c r="U87" s="158"/>
      <c r="V87" s="158">
        <f>SUM(V88:V89)</f>
        <v>0.02</v>
      </c>
      <c r="W87" s="158"/>
      <c r="X87" s="158"/>
      <c r="Y87" s="158"/>
      <c r="AG87" t="s">
        <v>137</v>
      </c>
    </row>
    <row r="88" spans="1:60" ht="20.399999999999999" outlineLevel="1" x14ac:dyDescent="0.25">
      <c r="A88" s="166">
        <v>41</v>
      </c>
      <c r="B88" s="167" t="s">
        <v>336</v>
      </c>
      <c r="C88" s="180" t="s">
        <v>337</v>
      </c>
      <c r="D88" s="168" t="s">
        <v>165</v>
      </c>
      <c r="E88" s="169">
        <v>1</v>
      </c>
      <c r="F88" s="170"/>
      <c r="G88" s="171">
        <f>ROUND(E88*F88,2)</f>
        <v>0</v>
      </c>
      <c r="H88" s="156">
        <v>109.67</v>
      </c>
      <c r="I88" s="155">
        <f>ROUND(E88*H88,2)</f>
        <v>109.67</v>
      </c>
      <c r="J88" s="156">
        <v>25.83</v>
      </c>
      <c r="K88" s="155">
        <f>ROUND(E88*J88,2)</f>
        <v>25.83</v>
      </c>
      <c r="L88" s="155">
        <v>21</v>
      </c>
      <c r="M88" s="155">
        <f>G88*(1+L88/100)</f>
        <v>0</v>
      </c>
      <c r="N88" s="154">
        <v>0.28799999999999998</v>
      </c>
      <c r="O88" s="251">
        <f>ROUND(E88*N88,2)</f>
        <v>0.28999999999999998</v>
      </c>
      <c r="P88" s="154">
        <v>0</v>
      </c>
      <c r="Q88" s="154">
        <f>ROUND(E88*P88,2)</f>
        <v>0</v>
      </c>
      <c r="R88" s="155"/>
      <c r="S88" s="155" t="s">
        <v>1198</v>
      </c>
      <c r="T88" s="155" t="s">
        <v>1198</v>
      </c>
      <c r="U88" s="155">
        <v>0.02</v>
      </c>
      <c r="V88" s="155">
        <f>ROUND(E88*U88,2)</f>
        <v>0.02</v>
      </c>
      <c r="W88" s="155"/>
      <c r="X88" s="155" t="s">
        <v>143</v>
      </c>
      <c r="Y88" s="155" t="s">
        <v>144</v>
      </c>
      <c r="Z88" s="145"/>
      <c r="AA88" s="145"/>
      <c r="AB88" s="145"/>
      <c r="AC88" s="145"/>
      <c r="AD88" s="145"/>
      <c r="AE88" s="145"/>
      <c r="AF88" s="145"/>
      <c r="AG88" s="145" t="s">
        <v>145</v>
      </c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2" x14ac:dyDescent="0.25">
      <c r="A89" s="152"/>
      <c r="B89" s="153" t="s">
        <v>1183</v>
      </c>
      <c r="C89" s="186" t="s">
        <v>1182</v>
      </c>
      <c r="D89" s="184"/>
      <c r="E89" s="185">
        <v>1</v>
      </c>
      <c r="F89" s="155"/>
      <c r="G89" s="155"/>
      <c r="H89" s="155"/>
      <c r="I89" s="155"/>
      <c r="J89" s="155"/>
      <c r="K89" s="155"/>
      <c r="L89" s="155"/>
      <c r="M89" s="155"/>
      <c r="N89" s="154"/>
      <c r="O89" s="251"/>
      <c r="P89" s="154"/>
      <c r="Q89" s="154"/>
      <c r="R89" s="155"/>
      <c r="S89" s="155"/>
      <c r="T89" s="155"/>
      <c r="U89" s="155"/>
      <c r="V89" s="155"/>
      <c r="W89" s="155"/>
      <c r="X89" s="155"/>
      <c r="Y89" s="155"/>
      <c r="Z89" s="145"/>
      <c r="AA89" s="145"/>
      <c r="AB89" s="145"/>
      <c r="AC89" s="145"/>
      <c r="AD89" s="145"/>
      <c r="AE89" s="145"/>
      <c r="AF89" s="145"/>
      <c r="AG89" s="145" t="s">
        <v>170</v>
      </c>
      <c r="AH89" s="145">
        <v>0</v>
      </c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x14ac:dyDescent="0.25">
      <c r="A90" s="159" t="s">
        <v>136</v>
      </c>
      <c r="B90" s="160" t="s">
        <v>73</v>
      </c>
      <c r="C90" s="178" t="s">
        <v>74</v>
      </c>
      <c r="D90" s="161"/>
      <c r="E90" s="162"/>
      <c r="F90" s="163"/>
      <c r="G90" s="164">
        <f>SUMIF(AG91:AG98,"&lt;&gt;NOR",G91:G98)</f>
        <v>0</v>
      </c>
      <c r="H90" s="158"/>
      <c r="I90" s="158">
        <f>SUM(I91:I98)</f>
        <v>61863.210000000006</v>
      </c>
      <c r="J90" s="158"/>
      <c r="K90" s="158">
        <f>SUM(K91:K98)</f>
        <v>102036.09</v>
      </c>
      <c r="L90" s="158"/>
      <c r="M90" s="158">
        <f>SUM(M91:M98)</f>
        <v>0</v>
      </c>
      <c r="N90" s="157"/>
      <c r="O90" s="252">
        <f>SUM(O91:O98)</f>
        <v>5.4599999999999991</v>
      </c>
      <c r="P90" s="157"/>
      <c r="Q90" s="157">
        <f>SUM(Q91:Q98)</f>
        <v>0</v>
      </c>
      <c r="R90" s="158"/>
      <c r="S90" s="158"/>
      <c r="T90" s="158"/>
      <c r="U90" s="158"/>
      <c r="V90" s="158">
        <f>SUM(V91:V98)</f>
        <v>197.04000000000002</v>
      </c>
      <c r="W90" s="158"/>
      <c r="X90" s="158"/>
      <c r="Y90" s="158"/>
      <c r="AG90" t="s">
        <v>137</v>
      </c>
    </row>
    <row r="91" spans="1:60" outlineLevel="1" x14ac:dyDescent="0.25">
      <c r="A91" s="172">
        <v>42</v>
      </c>
      <c r="B91" s="173" t="s">
        <v>338</v>
      </c>
      <c r="C91" s="179" t="s">
        <v>339</v>
      </c>
      <c r="D91" s="174" t="s">
        <v>165</v>
      </c>
      <c r="E91" s="175">
        <v>200.09</v>
      </c>
      <c r="F91" s="176"/>
      <c r="G91" s="177">
        <f t="shared" ref="G91:G96" si="9">ROUND(E91*F91,2)</f>
        <v>0</v>
      </c>
      <c r="H91" s="156">
        <v>39.6</v>
      </c>
      <c r="I91" s="155">
        <f t="shared" ref="I91:I96" si="10">ROUND(E91*H91,2)</f>
        <v>7923.56</v>
      </c>
      <c r="J91" s="156">
        <v>35.799999999999997</v>
      </c>
      <c r="K91" s="155">
        <f t="shared" ref="K91:K96" si="11">ROUND(E91*J91,2)</f>
        <v>7163.22</v>
      </c>
      <c r="L91" s="155">
        <v>21</v>
      </c>
      <c r="M91" s="155">
        <f t="shared" ref="M91:M96" si="12">G91*(1+L91/100)</f>
        <v>0</v>
      </c>
      <c r="N91" s="154">
        <v>3.2000000000000003E-4</v>
      </c>
      <c r="O91" s="251">
        <f t="shared" ref="O91:O96" si="13">ROUND(E91*N91,2)</f>
        <v>0.06</v>
      </c>
      <c r="P91" s="154">
        <v>0</v>
      </c>
      <c r="Q91" s="154">
        <f t="shared" ref="Q91:Q96" si="14">ROUND(E91*P91,2)</f>
        <v>0</v>
      </c>
      <c r="R91" s="155"/>
      <c r="S91" s="155" t="s">
        <v>1198</v>
      </c>
      <c r="T91" s="155" t="s">
        <v>1198</v>
      </c>
      <c r="U91" s="155">
        <v>7.0000000000000007E-2</v>
      </c>
      <c r="V91" s="155">
        <f t="shared" ref="V91:V96" si="15">ROUND(E91*U91,2)</f>
        <v>14.01</v>
      </c>
      <c r="W91" s="155"/>
      <c r="X91" s="155" t="s">
        <v>143</v>
      </c>
      <c r="Y91" s="155" t="s">
        <v>144</v>
      </c>
      <c r="Z91" s="145"/>
      <c r="AA91" s="145"/>
      <c r="AB91" s="145"/>
      <c r="AC91" s="145"/>
      <c r="AD91" s="145"/>
      <c r="AE91" s="145"/>
      <c r="AF91" s="145"/>
      <c r="AG91" s="145" t="s">
        <v>145</v>
      </c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5">
      <c r="A92" s="172">
        <v>43</v>
      </c>
      <c r="B92" s="173" t="s">
        <v>340</v>
      </c>
      <c r="C92" s="179" t="s">
        <v>341</v>
      </c>
      <c r="D92" s="174" t="s">
        <v>165</v>
      </c>
      <c r="E92" s="175">
        <v>200.09</v>
      </c>
      <c r="F92" s="176"/>
      <c r="G92" s="177">
        <f t="shared" si="9"/>
        <v>0</v>
      </c>
      <c r="H92" s="156">
        <v>40.39</v>
      </c>
      <c r="I92" s="155">
        <f t="shared" si="10"/>
        <v>8081.64</v>
      </c>
      <c r="J92" s="156">
        <v>38.61</v>
      </c>
      <c r="K92" s="155">
        <f t="shared" si="11"/>
        <v>7725.47</v>
      </c>
      <c r="L92" s="155">
        <v>21</v>
      </c>
      <c r="M92" s="155">
        <f t="shared" si="12"/>
        <v>0</v>
      </c>
      <c r="N92" s="154">
        <v>5.2500000000000003E-3</v>
      </c>
      <c r="O92" s="251">
        <f t="shared" si="13"/>
        <v>1.05</v>
      </c>
      <c r="P92" s="154">
        <v>0</v>
      </c>
      <c r="Q92" s="154">
        <f t="shared" si="14"/>
        <v>0</v>
      </c>
      <c r="R92" s="155"/>
      <c r="S92" s="155" t="s">
        <v>1198</v>
      </c>
      <c r="T92" s="155" t="s">
        <v>1198</v>
      </c>
      <c r="U92" s="155">
        <v>0.1</v>
      </c>
      <c r="V92" s="155">
        <f t="shared" si="15"/>
        <v>20.010000000000002</v>
      </c>
      <c r="W92" s="155"/>
      <c r="X92" s="155" t="s">
        <v>143</v>
      </c>
      <c r="Y92" s="155" t="s">
        <v>144</v>
      </c>
      <c r="Z92" s="145"/>
      <c r="AA92" s="145"/>
      <c r="AB92" s="145"/>
      <c r="AC92" s="145"/>
      <c r="AD92" s="145"/>
      <c r="AE92" s="145"/>
      <c r="AF92" s="145"/>
      <c r="AG92" s="145" t="s">
        <v>145</v>
      </c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ht="20.399999999999999" outlineLevel="1" x14ac:dyDescent="0.25">
      <c r="A93" s="172">
        <v>44</v>
      </c>
      <c r="B93" s="173" t="s">
        <v>342</v>
      </c>
      <c r="C93" s="179" t="s">
        <v>343</v>
      </c>
      <c r="D93" s="174" t="s">
        <v>165</v>
      </c>
      <c r="E93" s="175">
        <v>200.09</v>
      </c>
      <c r="F93" s="176"/>
      <c r="G93" s="177">
        <f t="shared" si="9"/>
        <v>0</v>
      </c>
      <c r="H93" s="156">
        <v>110.3</v>
      </c>
      <c r="I93" s="155">
        <f t="shared" si="10"/>
        <v>22069.93</v>
      </c>
      <c r="J93" s="156">
        <v>185.2</v>
      </c>
      <c r="K93" s="155">
        <f t="shared" si="11"/>
        <v>37056.67</v>
      </c>
      <c r="L93" s="155">
        <v>21</v>
      </c>
      <c r="M93" s="155">
        <f t="shared" si="12"/>
        <v>0</v>
      </c>
      <c r="N93" s="154">
        <v>1.7000000000000001E-2</v>
      </c>
      <c r="O93" s="251">
        <f t="shared" si="13"/>
        <v>3.4</v>
      </c>
      <c r="P93" s="154">
        <v>0</v>
      </c>
      <c r="Q93" s="154">
        <f t="shared" si="14"/>
        <v>0</v>
      </c>
      <c r="R93" s="155"/>
      <c r="S93" s="155" t="s">
        <v>1198</v>
      </c>
      <c r="T93" s="155" t="s">
        <v>1198</v>
      </c>
      <c r="U93" s="155">
        <v>0.36</v>
      </c>
      <c r="V93" s="155">
        <f t="shared" si="15"/>
        <v>72.03</v>
      </c>
      <c r="W93" s="155"/>
      <c r="X93" s="155" t="s">
        <v>143</v>
      </c>
      <c r="Y93" s="155" t="s">
        <v>144</v>
      </c>
      <c r="Z93" s="145"/>
      <c r="AA93" s="145"/>
      <c r="AB93" s="145"/>
      <c r="AC93" s="145"/>
      <c r="AD93" s="145"/>
      <c r="AE93" s="145"/>
      <c r="AF93" s="145"/>
      <c r="AG93" s="145" t="s">
        <v>145</v>
      </c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ht="20.399999999999999" outlineLevel="1" x14ac:dyDescent="0.25">
      <c r="A94" s="172">
        <v>45</v>
      </c>
      <c r="B94" s="173" t="s">
        <v>344</v>
      </c>
      <c r="C94" s="179" t="s">
        <v>345</v>
      </c>
      <c r="D94" s="174" t="s">
        <v>165</v>
      </c>
      <c r="E94" s="175">
        <v>200.09</v>
      </c>
      <c r="F94" s="176"/>
      <c r="G94" s="177">
        <f t="shared" si="9"/>
        <v>0</v>
      </c>
      <c r="H94" s="156">
        <v>79.819999999999993</v>
      </c>
      <c r="I94" s="155">
        <f t="shared" si="10"/>
        <v>15971.18</v>
      </c>
      <c r="J94" s="156">
        <v>201.18</v>
      </c>
      <c r="K94" s="155">
        <f t="shared" si="11"/>
        <v>40254.11</v>
      </c>
      <c r="L94" s="155">
        <v>21</v>
      </c>
      <c r="M94" s="155">
        <f t="shared" si="12"/>
        <v>0</v>
      </c>
      <c r="N94" s="154">
        <v>3.6099999999999999E-3</v>
      </c>
      <c r="O94" s="251">
        <f t="shared" si="13"/>
        <v>0.72</v>
      </c>
      <c r="P94" s="154">
        <v>0</v>
      </c>
      <c r="Q94" s="154">
        <f t="shared" si="14"/>
        <v>0</v>
      </c>
      <c r="R94" s="155"/>
      <c r="S94" s="155" t="s">
        <v>1198</v>
      </c>
      <c r="T94" s="155" t="s">
        <v>1198</v>
      </c>
      <c r="U94" s="155">
        <v>0.36</v>
      </c>
      <c r="V94" s="155">
        <f t="shared" si="15"/>
        <v>72.03</v>
      </c>
      <c r="W94" s="155"/>
      <c r="X94" s="155" t="s">
        <v>143</v>
      </c>
      <c r="Y94" s="155" t="s">
        <v>144</v>
      </c>
      <c r="Z94" s="145"/>
      <c r="AA94" s="145"/>
      <c r="AB94" s="145"/>
      <c r="AC94" s="145"/>
      <c r="AD94" s="145"/>
      <c r="AE94" s="145"/>
      <c r="AF94" s="145"/>
      <c r="AG94" s="145" t="s">
        <v>145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5">
      <c r="A95" s="172">
        <v>46</v>
      </c>
      <c r="B95" s="173" t="s">
        <v>346</v>
      </c>
      <c r="C95" s="179" t="s">
        <v>347</v>
      </c>
      <c r="D95" s="174" t="s">
        <v>165</v>
      </c>
      <c r="E95" s="175">
        <v>78.989999999999995</v>
      </c>
      <c r="F95" s="176"/>
      <c r="G95" s="177">
        <f t="shared" si="9"/>
        <v>0</v>
      </c>
      <c r="H95" s="156">
        <v>17.47</v>
      </c>
      <c r="I95" s="155">
        <f t="shared" si="10"/>
        <v>1379.96</v>
      </c>
      <c r="J95" s="156">
        <v>124.53</v>
      </c>
      <c r="K95" s="155">
        <f t="shared" si="11"/>
        <v>9836.6200000000008</v>
      </c>
      <c r="L95" s="155">
        <v>21</v>
      </c>
      <c r="M95" s="155">
        <f t="shared" si="12"/>
        <v>0</v>
      </c>
      <c r="N95" s="154">
        <v>2.5000000000000001E-3</v>
      </c>
      <c r="O95" s="251">
        <f t="shared" si="13"/>
        <v>0.2</v>
      </c>
      <c r="P95" s="154">
        <v>0</v>
      </c>
      <c r="Q95" s="154">
        <f t="shared" si="14"/>
        <v>0</v>
      </c>
      <c r="R95" s="155"/>
      <c r="S95" s="155" t="s">
        <v>1198</v>
      </c>
      <c r="T95" s="155" t="s">
        <v>1198</v>
      </c>
      <c r="U95" s="155">
        <v>0.24</v>
      </c>
      <c r="V95" s="155">
        <f t="shared" si="15"/>
        <v>18.96</v>
      </c>
      <c r="W95" s="155"/>
      <c r="X95" s="155" t="s">
        <v>143</v>
      </c>
      <c r="Y95" s="155" t="s">
        <v>144</v>
      </c>
      <c r="Z95" s="145"/>
      <c r="AA95" s="145"/>
      <c r="AB95" s="145"/>
      <c r="AC95" s="145"/>
      <c r="AD95" s="145"/>
      <c r="AE95" s="145"/>
      <c r="AF95" s="145"/>
      <c r="AG95" s="145" t="s">
        <v>145</v>
      </c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5">
      <c r="A96" s="166">
        <v>47</v>
      </c>
      <c r="B96" s="167" t="s">
        <v>348</v>
      </c>
      <c r="C96" s="180" t="s">
        <v>349</v>
      </c>
      <c r="D96" s="168" t="s">
        <v>178</v>
      </c>
      <c r="E96" s="169">
        <v>30</v>
      </c>
      <c r="F96" s="170"/>
      <c r="G96" s="171">
        <f t="shared" si="9"/>
        <v>0</v>
      </c>
      <c r="H96" s="156">
        <v>70.5</v>
      </c>
      <c r="I96" s="155">
        <f t="shared" si="10"/>
        <v>2115</v>
      </c>
      <c r="J96" s="156">
        <v>0</v>
      </c>
      <c r="K96" s="155">
        <f t="shared" si="11"/>
        <v>0</v>
      </c>
      <c r="L96" s="155">
        <v>21</v>
      </c>
      <c r="M96" s="155">
        <f t="shared" si="12"/>
        <v>0</v>
      </c>
      <c r="N96" s="154">
        <v>4.6000000000000001E-4</v>
      </c>
      <c r="O96" s="251">
        <f t="shared" si="13"/>
        <v>0.01</v>
      </c>
      <c r="P96" s="154">
        <v>0</v>
      </c>
      <c r="Q96" s="154">
        <f t="shared" si="14"/>
        <v>0</v>
      </c>
      <c r="R96" s="155"/>
      <c r="S96" s="155" t="s">
        <v>1198</v>
      </c>
      <c r="T96" s="155" t="s">
        <v>1198</v>
      </c>
      <c r="U96" s="155">
        <v>0</v>
      </c>
      <c r="V96" s="155">
        <f t="shared" si="15"/>
        <v>0</v>
      </c>
      <c r="W96" s="155"/>
      <c r="X96" s="155" t="s">
        <v>143</v>
      </c>
      <c r="Y96" s="155" t="s">
        <v>144</v>
      </c>
      <c r="Z96" s="145"/>
      <c r="AA96" s="145"/>
      <c r="AB96" s="145"/>
      <c r="AC96" s="145"/>
      <c r="AD96" s="145"/>
      <c r="AE96" s="145"/>
      <c r="AF96" s="145"/>
      <c r="AG96" s="145" t="s">
        <v>145</v>
      </c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2" x14ac:dyDescent="0.25">
      <c r="A97" s="152"/>
      <c r="B97" s="153"/>
      <c r="C97" s="186" t="s">
        <v>350</v>
      </c>
      <c r="D97" s="184"/>
      <c r="E97" s="185">
        <v>30</v>
      </c>
      <c r="F97" s="155"/>
      <c r="G97" s="155"/>
      <c r="H97" s="155"/>
      <c r="I97" s="155"/>
      <c r="J97" s="155"/>
      <c r="K97" s="155"/>
      <c r="L97" s="155"/>
      <c r="M97" s="155"/>
      <c r="N97" s="154"/>
      <c r="O97" s="251"/>
      <c r="P97" s="154"/>
      <c r="Q97" s="154"/>
      <c r="R97" s="155"/>
      <c r="S97" s="155"/>
      <c r="T97" s="155"/>
      <c r="U97" s="155"/>
      <c r="V97" s="155"/>
      <c r="W97" s="155"/>
      <c r="X97" s="155"/>
      <c r="Y97" s="155"/>
      <c r="Z97" s="145"/>
      <c r="AA97" s="145"/>
      <c r="AB97" s="145"/>
      <c r="AC97" s="145"/>
      <c r="AD97" s="145"/>
      <c r="AE97" s="145"/>
      <c r="AF97" s="145"/>
      <c r="AG97" s="145" t="s">
        <v>170</v>
      </c>
      <c r="AH97" s="145">
        <v>0</v>
      </c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5">
      <c r="A98" s="172">
        <v>48</v>
      </c>
      <c r="B98" s="173" t="s">
        <v>351</v>
      </c>
      <c r="C98" s="179" t="s">
        <v>352</v>
      </c>
      <c r="D98" s="174" t="s">
        <v>165</v>
      </c>
      <c r="E98" s="175">
        <v>200.09</v>
      </c>
      <c r="F98" s="176"/>
      <c r="G98" s="177">
        <f>ROUND(E98*F98,2)</f>
        <v>0</v>
      </c>
      <c r="H98" s="156">
        <v>21.6</v>
      </c>
      <c r="I98" s="155">
        <f>ROUND(E98*H98,2)</f>
        <v>4321.9399999999996</v>
      </c>
      <c r="J98" s="156">
        <v>0</v>
      </c>
      <c r="K98" s="155">
        <f>ROUND(E98*J98,2)</f>
        <v>0</v>
      </c>
      <c r="L98" s="155">
        <v>21</v>
      </c>
      <c r="M98" s="155">
        <f>G98*(1+L98/100)</f>
        <v>0</v>
      </c>
      <c r="N98" s="154">
        <v>8.0000000000000007E-5</v>
      </c>
      <c r="O98" s="251">
        <f>ROUND(E98*N98,2)</f>
        <v>0.02</v>
      </c>
      <c r="P98" s="154">
        <v>0</v>
      </c>
      <c r="Q98" s="154">
        <f>ROUND(E98*P98,2)</f>
        <v>0</v>
      </c>
      <c r="R98" s="155"/>
      <c r="S98" s="155" t="s">
        <v>1198</v>
      </c>
      <c r="T98" s="155" t="s">
        <v>1198</v>
      </c>
      <c r="U98" s="155">
        <v>0</v>
      </c>
      <c r="V98" s="155">
        <f>ROUND(E98*U98,2)</f>
        <v>0</v>
      </c>
      <c r="W98" s="155"/>
      <c r="X98" s="155" t="s">
        <v>143</v>
      </c>
      <c r="Y98" s="155" t="s">
        <v>144</v>
      </c>
      <c r="Z98" s="145"/>
      <c r="AA98" s="145"/>
      <c r="AB98" s="145"/>
      <c r="AC98" s="145"/>
      <c r="AD98" s="145"/>
      <c r="AE98" s="145"/>
      <c r="AF98" s="145"/>
      <c r="AG98" s="145" t="s">
        <v>145</v>
      </c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x14ac:dyDescent="0.25">
      <c r="A99" s="159" t="s">
        <v>136</v>
      </c>
      <c r="B99" s="160" t="s">
        <v>75</v>
      </c>
      <c r="C99" s="178" t="s">
        <v>76</v>
      </c>
      <c r="D99" s="161"/>
      <c r="E99" s="162"/>
      <c r="F99" s="163"/>
      <c r="G99" s="164">
        <f>SUMIF(AG100:AG101,"&lt;&gt;NOR",G100:G101)</f>
        <v>0</v>
      </c>
      <c r="H99" s="158"/>
      <c r="I99" s="158">
        <f>SUM(I100:I101)</f>
        <v>0</v>
      </c>
      <c r="J99" s="158"/>
      <c r="K99" s="158">
        <f>SUM(K100:K101)</f>
        <v>357530.8</v>
      </c>
      <c r="L99" s="158"/>
      <c r="M99" s="158">
        <f>SUM(M100:M101)</f>
        <v>0</v>
      </c>
      <c r="N99" s="157"/>
      <c r="O99" s="252">
        <f>SUM(O100:O101)</f>
        <v>13.75</v>
      </c>
      <c r="P99" s="157"/>
      <c r="Q99" s="157">
        <f>SUM(Q100:Q101)</f>
        <v>0</v>
      </c>
      <c r="R99" s="158"/>
      <c r="S99" s="158"/>
      <c r="T99" s="158"/>
      <c r="U99" s="158"/>
      <c r="V99" s="158">
        <f>SUM(V100:V101)</f>
        <v>161.54</v>
      </c>
      <c r="W99" s="158"/>
      <c r="X99" s="158"/>
      <c r="Y99" s="158"/>
      <c r="AG99" t="s">
        <v>137</v>
      </c>
    </row>
    <row r="100" spans="1:60" ht="20.399999999999999" outlineLevel="1" x14ac:dyDescent="0.25">
      <c r="A100" s="166">
        <v>49</v>
      </c>
      <c r="B100" s="167" t="s">
        <v>353</v>
      </c>
      <c r="C100" s="180" t="s">
        <v>354</v>
      </c>
      <c r="D100" s="168" t="s">
        <v>165</v>
      </c>
      <c r="E100" s="169">
        <v>107.69</v>
      </c>
      <c r="F100" s="170"/>
      <c r="G100" s="171">
        <f>ROUND(E100*F100,2)</f>
        <v>0</v>
      </c>
      <c r="H100" s="156">
        <v>0</v>
      </c>
      <c r="I100" s="155">
        <f>ROUND(E100*H100,2)</f>
        <v>0</v>
      </c>
      <c r="J100" s="156">
        <v>3320</v>
      </c>
      <c r="K100" s="155">
        <f>ROUND(E100*J100,2)</f>
        <v>357530.8</v>
      </c>
      <c r="L100" s="155">
        <v>21</v>
      </c>
      <c r="M100" s="155">
        <f>G100*(1+L100/100)</f>
        <v>0</v>
      </c>
      <c r="N100" s="154">
        <v>0.12767999999999999</v>
      </c>
      <c r="O100" s="251">
        <f>ROUND(E100*N100,2)</f>
        <v>13.75</v>
      </c>
      <c r="P100" s="154">
        <v>0</v>
      </c>
      <c r="Q100" s="154">
        <f>ROUND(E100*P100,2)</f>
        <v>0</v>
      </c>
      <c r="R100" s="155"/>
      <c r="S100" s="155" t="s">
        <v>141</v>
      </c>
      <c r="T100" s="155" t="s">
        <v>355</v>
      </c>
      <c r="U100" s="155">
        <v>1.5</v>
      </c>
      <c r="V100" s="155">
        <f>ROUND(E100*U100,2)</f>
        <v>161.54</v>
      </c>
      <c r="W100" s="155"/>
      <c r="X100" s="155" t="s">
        <v>143</v>
      </c>
      <c r="Y100" s="155" t="s">
        <v>144</v>
      </c>
      <c r="Z100" s="145"/>
      <c r="AA100" s="145"/>
      <c r="AB100" s="145"/>
      <c r="AC100" s="145"/>
      <c r="AD100" s="145"/>
      <c r="AE100" s="145"/>
      <c r="AF100" s="145"/>
      <c r="AG100" s="145" t="s">
        <v>145</v>
      </c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2" x14ac:dyDescent="0.25">
      <c r="A101" s="152"/>
      <c r="B101" s="153"/>
      <c r="C101" s="186" t="s">
        <v>356</v>
      </c>
      <c r="D101" s="184"/>
      <c r="E101" s="185">
        <v>107.69</v>
      </c>
      <c r="F101" s="155"/>
      <c r="G101" s="155"/>
      <c r="H101" s="155"/>
      <c r="I101" s="155"/>
      <c r="J101" s="155"/>
      <c r="K101" s="155"/>
      <c r="L101" s="155"/>
      <c r="M101" s="155"/>
      <c r="N101" s="154"/>
      <c r="O101" s="251"/>
      <c r="P101" s="154"/>
      <c r="Q101" s="154"/>
      <c r="R101" s="155"/>
      <c r="S101" s="155"/>
      <c r="T101" s="155"/>
      <c r="U101" s="155"/>
      <c r="V101" s="155"/>
      <c r="W101" s="155"/>
      <c r="X101" s="155"/>
      <c r="Y101" s="155"/>
      <c r="Z101" s="145"/>
      <c r="AA101" s="145"/>
      <c r="AB101" s="145"/>
      <c r="AC101" s="145"/>
      <c r="AD101" s="145"/>
      <c r="AE101" s="145"/>
      <c r="AF101" s="145"/>
      <c r="AG101" s="145" t="s">
        <v>170</v>
      </c>
      <c r="AH101" s="145">
        <v>0</v>
      </c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x14ac:dyDescent="0.25">
      <c r="A102" s="159" t="s">
        <v>136</v>
      </c>
      <c r="B102" s="160" t="s">
        <v>77</v>
      </c>
      <c r="C102" s="178" t="s">
        <v>78</v>
      </c>
      <c r="D102" s="161"/>
      <c r="E102" s="162"/>
      <c r="F102" s="163"/>
      <c r="G102" s="164">
        <f>SUMIF(AG103:AG108,"&lt;&gt;NOR",G103:G108)</f>
        <v>0</v>
      </c>
      <c r="H102" s="158"/>
      <c r="I102" s="158">
        <f>SUM(I103:I108)</f>
        <v>30047.21</v>
      </c>
      <c r="J102" s="158"/>
      <c r="K102" s="158">
        <f>SUM(K103:K108)</f>
        <v>10059.299999999999</v>
      </c>
      <c r="L102" s="158"/>
      <c r="M102" s="158">
        <f>SUM(M103:M108)</f>
        <v>0</v>
      </c>
      <c r="N102" s="157"/>
      <c r="O102" s="252">
        <f>SUM(O103:O108)</f>
        <v>8.89</v>
      </c>
      <c r="P102" s="157"/>
      <c r="Q102" s="157">
        <f>SUM(Q103:Q108)</f>
        <v>0</v>
      </c>
      <c r="R102" s="158"/>
      <c r="S102" s="158"/>
      <c r="T102" s="158"/>
      <c r="U102" s="158"/>
      <c r="V102" s="158">
        <f>SUM(V103:V108)</f>
        <v>20.69</v>
      </c>
      <c r="W102" s="158"/>
      <c r="X102" s="158"/>
      <c r="Y102" s="158"/>
      <c r="AG102" t="s">
        <v>137</v>
      </c>
    </row>
    <row r="103" spans="1:60" outlineLevel="1" x14ac:dyDescent="0.25">
      <c r="A103" s="166">
        <v>50</v>
      </c>
      <c r="B103" s="167" t="s">
        <v>357</v>
      </c>
      <c r="C103" s="180" t="s">
        <v>358</v>
      </c>
      <c r="D103" s="168" t="s">
        <v>241</v>
      </c>
      <c r="E103" s="169">
        <v>3.3186</v>
      </c>
      <c r="F103" s="170"/>
      <c r="G103" s="171">
        <f>ROUND(E103*F103,2)</f>
        <v>0</v>
      </c>
      <c r="H103" s="156">
        <v>2968.19</v>
      </c>
      <c r="I103" s="155">
        <f>ROUND(E103*H103,2)</f>
        <v>9850.24</v>
      </c>
      <c r="J103" s="156">
        <v>1451.81</v>
      </c>
      <c r="K103" s="155">
        <f>ROUND(E103*J103,2)</f>
        <v>4817.9799999999996</v>
      </c>
      <c r="L103" s="155">
        <v>21</v>
      </c>
      <c r="M103" s="155">
        <f>G103*(1+L103/100)</f>
        <v>0</v>
      </c>
      <c r="N103" s="154">
        <v>2.5249999999999999</v>
      </c>
      <c r="O103" s="251">
        <f>ROUND(E103*N103,2)</f>
        <v>8.3800000000000008</v>
      </c>
      <c r="P103" s="154">
        <v>0</v>
      </c>
      <c r="Q103" s="154">
        <f>ROUND(E103*P103,2)</f>
        <v>0</v>
      </c>
      <c r="R103" s="155"/>
      <c r="S103" s="155" t="s">
        <v>1198</v>
      </c>
      <c r="T103" s="155" t="s">
        <v>1198</v>
      </c>
      <c r="U103" s="155">
        <v>3.21</v>
      </c>
      <c r="V103" s="155">
        <f>ROUND(E103*U103,2)</f>
        <v>10.65</v>
      </c>
      <c r="W103" s="155"/>
      <c r="X103" s="155" t="s">
        <v>143</v>
      </c>
      <c r="Y103" s="155" t="s">
        <v>144</v>
      </c>
      <c r="Z103" s="145"/>
      <c r="AA103" s="145"/>
      <c r="AB103" s="145"/>
      <c r="AC103" s="145"/>
      <c r="AD103" s="145"/>
      <c r="AE103" s="145"/>
      <c r="AF103" s="145"/>
      <c r="AG103" s="145" t="s">
        <v>145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2" x14ac:dyDescent="0.25">
      <c r="A104" s="152"/>
      <c r="B104" s="153"/>
      <c r="C104" s="574" t="s">
        <v>359</v>
      </c>
      <c r="D104" s="575"/>
      <c r="E104" s="575"/>
      <c r="F104" s="575"/>
      <c r="G104" s="575"/>
      <c r="H104" s="155"/>
      <c r="I104" s="155"/>
      <c r="J104" s="155"/>
      <c r="K104" s="155"/>
      <c r="L104" s="155"/>
      <c r="M104" s="155"/>
      <c r="N104" s="154"/>
      <c r="O104" s="251"/>
      <c r="P104" s="154"/>
      <c r="Q104" s="154"/>
      <c r="R104" s="155"/>
      <c r="S104" s="155"/>
      <c r="T104" s="155"/>
      <c r="U104" s="155"/>
      <c r="V104" s="155"/>
      <c r="W104" s="155"/>
      <c r="X104" s="155"/>
      <c r="Y104" s="155"/>
      <c r="Z104" s="145"/>
      <c r="AA104" s="145"/>
      <c r="AB104" s="145"/>
      <c r="AC104" s="145"/>
      <c r="AD104" s="145"/>
      <c r="AE104" s="145"/>
      <c r="AF104" s="145"/>
      <c r="AG104" s="145" t="s">
        <v>168</v>
      </c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2" x14ac:dyDescent="0.25">
      <c r="A105" s="152"/>
      <c r="B105" s="153"/>
      <c r="C105" s="186" t="s">
        <v>360</v>
      </c>
      <c r="D105" s="184"/>
      <c r="E105" s="185">
        <v>3.3186</v>
      </c>
      <c r="F105" s="155"/>
      <c r="G105" s="155"/>
      <c r="H105" s="155"/>
      <c r="I105" s="155"/>
      <c r="J105" s="155"/>
      <c r="K105" s="155"/>
      <c r="L105" s="155"/>
      <c r="M105" s="155"/>
      <c r="N105" s="154"/>
      <c r="O105" s="251"/>
      <c r="P105" s="154"/>
      <c r="Q105" s="154"/>
      <c r="R105" s="155"/>
      <c r="S105" s="155"/>
      <c r="T105" s="155"/>
      <c r="U105" s="155"/>
      <c r="V105" s="155"/>
      <c r="W105" s="155"/>
      <c r="X105" s="155"/>
      <c r="Y105" s="155"/>
      <c r="Z105" s="145"/>
      <c r="AA105" s="145"/>
      <c r="AB105" s="145"/>
      <c r="AC105" s="145"/>
      <c r="AD105" s="145"/>
      <c r="AE105" s="145"/>
      <c r="AF105" s="145"/>
      <c r="AG105" s="145" t="s">
        <v>170</v>
      </c>
      <c r="AH105" s="145">
        <v>0</v>
      </c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5">
      <c r="A106" s="172">
        <v>51</v>
      </c>
      <c r="B106" s="173" t="s">
        <v>361</v>
      </c>
      <c r="C106" s="179" t="s">
        <v>362</v>
      </c>
      <c r="D106" s="174" t="s">
        <v>241</v>
      </c>
      <c r="E106" s="175">
        <v>3.3186</v>
      </c>
      <c r="F106" s="176"/>
      <c r="G106" s="177">
        <f>ROUND(E106*F106,2)</f>
        <v>0</v>
      </c>
      <c r="H106" s="156">
        <v>0</v>
      </c>
      <c r="I106" s="155">
        <f>ROUND(E106*H106,2)</f>
        <v>0</v>
      </c>
      <c r="J106" s="156">
        <v>431</v>
      </c>
      <c r="K106" s="155">
        <f>ROUND(E106*J106,2)</f>
        <v>1430.32</v>
      </c>
      <c r="L106" s="155">
        <v>21</v>
      </c>
      <c r="M106" s="155">
        <f>G106*(1+L106/100)</f>
        <v>0</v>
      </c>
      <c r="N106" s="154">
        <v>0</v>
      </c>
      <c r="O106" s="251">
        <f>ROUND(E106*N106,2)</f>
        <v>0</v>
      </c>
      <c r="P106" s="154">
        <v>0</v>
      </c>
      <c r="Q106" s="154">
        <f>ROUND(E106*P106,2)</f>
        <v>0</v>
      </c>
      <c r="R106" s="155"/>
      <c r="S106" s="155" t="s">
        <v>1198</v>
      </c>
      <c r="T106" s="155" t="s">
        <v>1198</v>
      </c>
      <c r="U106" s="155">
        <v>0.82</v>
      </c>
      <c r="V106" s="155">
        <f>ROUND(E106*U106,2)</f>
        <v>2.72</v>
      </c>
      <c r="W106" s="155"/>
      <c r="X106" s="155" t="s">
        <v>143</v>
      </c>
      <c r="Y106" s="155" t="s">
        <v>144</v>
      </c>
      <c r="Z106" s="145"/>
      <c r="AA106" s="145"/>
      <c r="AB106" s="145"/>
      <c r="AC106" s="145"/>
      <c r="AD106" s="145"/>
      <c r="AE106" s="145"/>
      <c r="AF106" s="145"/>
      <c r="AG106" s="145" t="s">
        <v>145</v>
      </c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ht="20.399999999999999" outlineLevel="1" x14ac:dyDescent="0.25">
      <c r="A107" s="166">
        <v>52</v>
      </c>
      <c r="B107" s="167" t="s">
        <v>363</v>
      </c>
      <c r="C107" s="180" t="s">
        <v>364</v>
      </c>
      <c r="D107" s="168" t="s">
        <v>267</v>
      </c>
      <c r="E107" s="169">
        <v>0.48064000000000001</v>
      </c>
      <c r="F107" s="170"/>
      <c r="G107" s="171">
        <f>ROUND(E107*F107,2)</f>
        <v>0</v>
      </c>
      <c r="H107" s="156">
        <v>42020.99</v>
      </c>
      <c r="I107" s="155">
        <f>ROUND(E107*H107,2)</f>
        <v>20196.97</v>
      </c>
      <c r="J107" s="156">
        <v>7929.01</v>
      </c>
      <c r="K107" s="155">
        <f>ROUND(E107*J107,2)</f>
        <v>3811</v>
      </c>
      <c r="L107" s="155">
        <v>21</v>
      </c>
      <c r="M107" s="155">
        <f>G107*(1+L107/100)</f>
        <v>0</v>
      </c>
      <c r="N107" s="154">
        <v>1.0662499999999999</v>
      </c>
      <c r="O107" s="251">
        <f>ROUND(E107*N107,2)</f>
        <v>0.51</v>
      </c>
      <c r="P107" s="154">
        <v>0</v>
      </c>
      <c r="Q107" s="154">
        <f>ROUND(E107*P107,2)</f>
        <v>0</v>
      </c>
      <c r="R107" s="155"/>
      <c r="S107" s="155" t="s">
        <v>1198</v>
      </c>
      <c r="T107" s="155" t="s">
        <v>166</v>
      </c>
      <c r="U107" s="155">
        <v>15.23</v>
      </c>
      <c r="V107" s="155">
        <f>ROUND(E107*U107,2)</f>
        <v>7.32</v>
      </c>
      <c r="W107" s="155"/>
      <c r="X107" s="155" t="s">
        <v>143</v>
      </c>
      <c r="Y107" s="155" t="s">
        <v>144</v>
      </c>
      <c r="Z107" s="145"/>
      <c r="AA107" s="145"/>
      <c r="AB107" s="145"/>
      <c r="AC107" s="145"/>
      <c r="AD107" s="145"/>
      <c r="AE107" s="145"/>
      <c r="AF107" s="145"/>
      <c r="AG107" s="145" t="s">
        <v>145</v>
      </c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2" x14ac:dyDescent="0.25">
      <c r="A108" s="152"/>
      <c r="B108" s="153"/>
      <c r="C108" s="186" t="s">
        <v>365</v>
      </c>
      <c r="D108" s="184"/>
      <c r="E108" s="185">
        <v>0.48064000000000001</v>
      </c>
      <c r="F108" s="155"/>
      <c r="G108" s="155"/>
      <c r="H108" s="155"/>
      <c r="I108" s="155"/>
      <c r="J108" s="155"/>
      <c r="K108" s="155"/>
      <c r="L108" s="155"/>
      <c r="M108" s="155"/>
      <c r="N108" s="154"/>
      <c r="O108" s="251"/>
      <c r="P108" s="154"/>
      <c r="Q108" s="154"/>
      <c r="R108" s="155"/>
      <c r="S108" s="155"/>
      <c r="T108" s="155"/>
      <c r="U108" s="155"/>
      <c r="V108" s="155"/>
      <c r="W108" s="155"/>
      <c r="X108" s="155"/>
      <c r="Y108" s="155"/>
      <c r="Z108" s="145"/>
      <c r="AA108" s="145"/>
      <c r="AB108" s="145"/>
      <c r="AC108" s="145"/>
      <c r="AD108" s="145"/>
      <c r="AE108" s="145"/>
      <c r="AF108" s="145"/>
      <c r="AG108" s="145" t="s">
        <v>170</v>
      </c>
      <c r="AH108" s="145">
        <v>0</v>
      </c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x14ac:dyDescent="0.25">
      <c r="A109" s="159" t="s">
        <v>136</v>
      </c>
      <c r="B109" s="160" t="s">
        <v>79</v>
      </c>
      <c r="C109" s="178" t="s">
        <v>80</v>
      </c>
      <c r="D109" s="161"/>
      <c r="E109" s="162"/>
      <c r="F109" s="163"/>
      <c r="G109" s="164">
        <f>SUMIF(AG110:AG111,"&lt;&gt;NOR",G110:G111)</f>
        <v>0</v>
      </c>
      <c r="H109" s="158"/>
      <c r="I109" s="158">
        <f>SUM(I110:I111)</f>
        <v>3523.2</v>
      </c>
      <c r="J109" s="158"/>
      <c r="K109" s="158">
        <f>SUM(K110:K111)</f>
        <v>4900.8</v>
      </c>
      <c r="L109" s="158"/>
      <c r="M109" s="158">
        <f>SUM(M110:M111)</f>
        <v>0</v>
      </c>
      <c r="N109" s="157"/>
      <c r="O109" s="252">
        <f>SUM(O110:O111)</f>
        <v>0.08</v>
      </c>
      <c r="P109" s="157"/>
      <c r="Q109" s="157">
        <f>SUM(Q110:Q111)</f>
        <v>0</v>
      </c>
      <c r="R109" s="158"/>
      <c r="S109" s="158"/>
      <c r="T109" s="158"/>
      <c r="U109" s="158"/>
      <c r="V109" s="158">
        <f>SUM(V110:V111)</f>
        <v>10.27</v>
      </c>
      <c r="W109" s="158"/>
      <c r="X109" s="158"/>
      <c r="Y109" s="158"/>
      <c r="AG109" t="s">
        <v>137</v>
      </c>
    </row>
    <row r="110" spans="1:60" outlineLevel="1" x14ac:dyDescent="0.25">
      <c r="A110" s="166">
        <v>53</v>
      </c>
      <c r="B110" s="167" t="s">
        <v>366</v>
      </c>
      <c r="C110" s="180" t="s">
        <v>367</v>
      </c>
      <c r="D110" s="168" t="s">
        <v>165</v>
      </c>
      <c r="E110" s="169">
        <v>48</v>
      </c>
      <c r="F110" s="170"/>
      <c r="G110" s="171">
        <f>ROUND(E110*F110,2)</f>
        <v>0</v>
      </c>
      <c r="H110" s="156">
        <v>73.400000000000006</v>
      </c>
      <c r="I110" s="155">
        <f>ROUND(E110*H110,2)</f>
        <v>3523.2</v>
      </c>
      <c r="J110" s="156">
        <v>102.1</v>
      </c>
      <c r="K110" s="155">
        <f>ROUND(E110*J110,2)</f>
        <v>4900.8</v>
      </c>
      <c r="L110" s="155">
        <v>21</v>
      </c>
      <c r="M110" s="155">
        <f>G110*(1+L110/100)</f>
        <v>0</v>
      </c>
      <c r="N110" s="154">
        <v>1.58E-3</v>
      </c>
      <c r="O110" s="251">
        <f>ROUND(E110*N110,2)</f>
        <v>0.08</v>
      </c>
      <c r="P110" s="154">
        <v>0</v>
      </c>
      <c r="Q110" s="154">
        <f>ROUND(E110*P110,2)</f>
        <v>0</v>
      </c>
      <c r="R110" s="155"/>
      <c r="S110" s="155" t="s">
        <v>1198</v>
      </c>
      <c r="T110" s="155" t="s">
        <v>1198</v>
      </c>
      <c r="U110" s="155">
        <v>0.214</v>
      </c>
      <c r="V110" s="155">
        <f>ROUND(E110*U110,2)</f>
        <v>10.27</v>
      </c>
      <c r="W110" s="155"/>
      <c r="X110" s="155" t="s">
        <v>143</v>
      </c>
      <c r="Y110" s="155" t="s">
        <v>144</v>
      </c>
      <c r="Z110" s="145"/>
      <c r="AA110" s="145"/>
      <c r="AB110" s="145"/>
      <c r="AC110" s="145"/>
      <c r="AD110" s="145"/>
      <c r="AE110" s="145"/>
      <c r="AF110" s="145"/>
      <c r="AG110" s="145" t="s">
        <v>145</v>
      </c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2" x14ac:dyDescent="0.25">
      <c r="A111" s="152"/>
      <c r="B111" s="153"/>
      <c r="C111" s="186" t="s">
        <v>368</v>
      </c>
      <c r="D111" s="184"/>
      <c r="E111" s="185">
        <v>48</v>
      </c>
      <c r="F111" s="155"/>
      <c r="G111" s="155"/>
      <c r="H111" s="155"/>
      <c r="I111" s="155"/>
      <c r="J111" s="155"/>
      <c r="K111" s="155"/>
      <c r="L111" s="155"/>
      <c r="M111" s="155"/>
      <c r="N111" s="154"/>
      <c r="O111" s="251"/>
      <c r="P111" s="154"/>
      <c r="Q111" s="154"/>
      <c r="R111" s="155"/>
      <c r="S111" s="155"/>
      <c r="T111" s="155"/>
      <c r="U111" s="155"/>
      <c r="V111" s="155"/>
      <c r="W111" s="155"/>
      <c r="X111" s="155"/>
      <c r="Y111" s="155"/>
      <c r="Z111" s="145"/>
      <c r="AA111" s="145"/>
      <c r="AB111" s="145"/>
      <c r="AC111" s="145"/>
      <c r="AD111" s="145"/>
      <c r="AE111" s="145"/>
      <c r="AF111" s="145"/>
      <c r="AG111" s="145" t="s">
        <v>170</v>
      </c>
      <c r="AH111" s="145">
        <v>0</v>
      </c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x14ac:dyDescent="0.25">
      <c r="A112" s="159" t="s">
        <v>136</v>
      </c>
      <c r="B112" s="160" t="s">
        <v>81</v>
      </c>
      <c r="C112" s="178" t="s">
        <v>82</v>
      </c>
      <c r="D112" s="161"/>
      <c r="E112" s="162"/>
      <c r="F112" s="163"/>
      <c r="G112" s="164">
        <f>SUMIF(AG113:AG114,"&lt;&gt;NOR",G113:G114)</f>
        <v>0</v>
      </c>
      <c r="H112" s="158"/>
      <c r="I112" s="158">
        <f>SUM(I113:I114)</f>
        <v>0</v>
      </c>
      <c r="J112" s="158"/>
      <c r="K112" s="158">
        <f>SUM(K113:K114)</f>
        <v>88871.39</v>
      </c>
      <c r="L112" s="158"/>
      <c r="M112" s="158">
        <f>SUM(M113:M114)</f>
        <v>0</v>
      </c>
      <c r="N112" s="157"/>
      <c r="O112" s="252">
        <f>SUM(O113:O114)</f>
        <v>0</v>
      </c>
      <c r="P112" s="157"/>
      <c r="Q112" s="157">
        <f>SUM(Q113:Q114)</f>
        <v>0</v>
      </c>
      <c r="R112" s="158"/>
      <c r="S112" s="158"/>
      <c r="T112" s="158"/>
      <c r="U112" s="158"/>
      <c r="V112" s="158">
        <f>SUM(V113:V114)</f>
        <v>187.91</v>
      </c>
      <c r="W112" s="158"/>
      <c r="X112" s="158"/>
      <c r="Y112" s="158"/>
      <c r="AG112" t="s">
        <v>137</v>
      </c>
    </row>
    <row r="113" spans="1:60" outlineLevel="1" x14ac:dyDescent="0.25">
      <c r="A113" s="166">
        <v>54</v>
      </c>
      <c r="B113" s="167" t="s">
        <v>369</v>
      </c>
      <c r="C113" s="180" t="s">
        <v>370</v>
      </c>
      <c r="D113" s="168" t="s">
        <v>267</v>
      </c>
      <c r="E113" s="169">
        <f>E114</f>
        <v>221.07310374999997</v>
      </c>
      <c r="F113" s="170"/>
      <c r="G113" s="171">
        <f>ROUND(E113*F113,2)</f>
        <v>0</v>
      </c>
      <c r="H113" s="156">
        <v>0</v>
      </c>
      <c r="I113" s="155">
        <f>ROUND(E113*H113,2)</f>
        <v>0</v>
      </c>
      <c r="J113" s="156">
        <v>402</v>
      </c>
      <c r="K113" s="155">
        <f>ROUND(E113*J113,2)</f>
        <v>88871.39</v>
      </c>
      <c r="L113" s="155">
        <v>21</v>
      </c>
      <c r="M113" s="155">
        <f>G113*(1+L113/100)</f>
        <v>0</v>
      </c>
      <c r="N113" s="154">
        <v>0</v>
      </c>
      <c r="O113" s="251">
        <f>ROUND(E113*N113,2)</f>
        <v>0</v>
      </c>
      <c r="P113" s="154">
        <v>0</v>
      </c>
      <c r="Q113" s="154">
        <f>ROUND(E113*P113,2)</f>
        <v>0</v>
      </c>
      <c r="R113" s="155"/>
      <c r="S113" s="155" t="s">
        <v>1198</v>
      </c>
      <c r="T113" s="155" t="s">
        <v>1198</v>
      </c>
      <c r="U113" s="155">
        <v>0.85</v>
      </c>
      <c r="V113" s="155">
        <f>ROUND(E113*U113,2)</f>
        <v>187.91</v>
      </c>
      <c r="W113" s="155"/>
      <c r="X113" s="155" t="s">
        <v>143</v>
      </c>
      <c r="Y113" s="155" t="s">
        <v>144</v>
      </c>
      <c r="Z113" s="145"/>
      <c r="AA113" s="145"/>
      <c r="AB113" s="145"/>
      <c r="AC113" s="145"/>
      <c r="AD113" s="145"/>
      <c r="AE113" s="145"/>
      <c r="AF113" s="145"/>
      <c r="AG113" s="145" t="s">
        <v>145</v>
      </c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2" x14ac:dyDescent="0.25">
      <c r="A114" s="152"/>
      <c r="B114" s="153"/>
      <c r="C114" s="186">
        <v>220.82364999999999</v>
      </c>
      <c r="D114" s="184"/>
      <c r="E114" s="185">
        <f>O109+O102+O99+O90+O87+O67+O39+O22</f>
        <v>221.07310374999997</v>
      </c>
      <c r="F114" s="155"/>
      <c r="G114" s="155"/>
      <c r="H114" s="155"/>
      <c r="I114" s="155"/>
      <c r="J114" s="155"/>
      <c r="K114" s="155"/>
      <c r="L114" s="155"/>
      <c r="M114" s="155"/>
      <c r="N114" s="154"/>
      <c r="O114" s="251"/>
      <c r="P114" s="154"/>
      <c r="Q114" s="154"/>
      <c r="R114" s="155"/>
      <c r="S114" s="155"/>
      <c r="T114" s="155"/>
      <c r="U114" s="155"/>
      <c r="V114" s="155"/>
      <c r="W114" s="155"/>
      <c r="X114" s="155"/>
      <c r="Y114" s="155"/>
      <c r="Z114" s="145"/>
      <c r="AA114" s="145"/>
      <c r="AB114" s="145"/>
      <c r="AC114" s="145"/>
      <c r="AD114" s="145"/>
      <c r="AE114" s="145"/>
      <c r="AF114" s="145"/>
      <c r="AG114" s="145" t="s">
        <v>170</v>
      </c>
      <c r="AH114" s="145">
        <v>6</v>
      </c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x14ac:dyDescent="0.25">
      <c r="A115" s="159" t="s">
        <v>136</v>
      </c>
      <c r="B115" s="160" t="s">
        <v>83</v>
      </c>
      <c r="C115" s="178" t="s">
        <v>84</v>
      </c>
      <c r="D115" s="161"/>
      <c r="E115" s="162"/>
      <c r="F115" s="163"/>
      <c r="G115" s="164">
        <f>SUMIF(AG116:AG150,"&lt;&gt;NOR",G116:G150)</f>
        <v>0</v>
      </c>
      <c r="H115" s="158"/>
      <c r="I115" s="158">
        <f>SUM(I116:I150)</f>
        <v>109458.07999999999</v>
      </c>
      <c r="J115" s="158"/>
      <c r="K115" s="158">
        <f>SUM(K116:K150)</f>
        <v>66923.679999999993</v>
      </c>
      <c r="L115" s="158"/>
      <c r="M115" s="158">
        <f>SUM(M116:M150)</f>
        <v>0</v>
      </c>
      <c r="N115" s="157"/>
      <c r="O115" s="252">
        <f>SUM(O116:O150)</f>
        <v>1.3200000000000003</v>
      </c>
      <c r="P115" s="157"/>
      <c r="Q115" s="157">
        <f>SUM(Q116:Q150)</f>
        <v>0</v>
      </c>
      <c r="R115" s="158"/>
      <c r="S115" s="158"/>
      <c r="T115" s="158"/>
      <c r="U115" s="158"/>
      <c r="V115" s="158">
        <f>SUM(V116:V150)</f>
        <v>126.88</v>
      </c>
      <c r="W115" s="158"/>
      <c r="X115" s="158"/>
      <c r="Y115" s="158"/>
      <c r="AG115" t="s">
        <v>137</v>
      </c>
    </row>
    <row r="116" spans="1:60" ht="20.399999999999999" outlineLevel="1" x14ac:dyDescent="0.25">
      <c r="A116" s="166">
        <v>55</v>
      </c>
      <c r="B116" s="167" t="s">
        <v>371</v>
      </c>
      <c r="C116" s="180" t="s">
        <v>372</v>
      </c>
      <c r="D116" s="168" t="s">
        <v>165</v>
      </c>
      <c r="E116" s="169">
        <v>20.29</v>
      </c>
      <c r="F116" s="170"/>
      <c r="G116" s="171">
        <f>ROUND(E116*F116,2)</f>
        <v>0</v>
      </c>
      <c r="H116" s="156">
        <v>431.42</v>
      </c>
      <c r="I116" s="155">
        <f>ROUND(E116*H116,2)</f>
        <v>8753.51</v>
      </c>
      <c r="J116" s="156">
        <v>209.58</v>
      </c>
      <c r="K116" s="155">
        <f>ROUND(E116*J116,2)</f>
        <v>4252.38</v>
      </c>
      <c r="L116" s="155">
        <v>21</v>
      </c>
      <c r="M116" s="155">
        <f>G116*(1+L116/100)</f>
        <v>0</v>
      </c>
      <c r="N116" s="154">
        <v>3.3999999999999998E-3</v>
      </c>
      <c r="O116" s="251">
        <f>ROUND(E116*N116,2)</f>
        <v>7.0000000000000007E-2</v>
      </c>
      <c r="P116" s="154">
        <v>0</v>
      </c>
      <c r="Q116" s="154">
        <f>ROUND(E116*P116,2)</f>
        <v>0</v>
      </c>
      <c r="R116" s="155"/>
      <c r="S116" s="155" t="s">
        <v>1198</v>
      </c>
      <c r="T116" s="155" t="s">
        <v>1198</v>
      </c>
      <c r="U116" s="155">
        <v>0.39</v>
      </c>
      <c r="V116" s="155">
        <f>ROUND(E116*U116,2)</f>
        <v>7.91</v>
      </c>
      <c r="W116" s="155"/>
      <c r="X116" s="155" t="s">
        <v>143</v>
      </c>
      <c r="Y116" s="155" t="s">
        <v>144</v>
      </c>
      <c r="Z116" s="145"/>
      <c r="AA116" s="145"/>
      <c r="AB116" s="145"/>
      <c r="AC116" s="145"/>
      <c r="AD116" s="145"/>
      <c r="AE116" s="145"/>
      <c r="AF116" s="145"/>
      <c r="AG116" s="145" t="s">
        <v>145</v>
      </c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2" x14ac:dyDescent="0.25">
      <c r="A117" s="152"/>
      <c r="B117" s="153"/>
      <c r="C117" s="574" t="s">
        <v>373</v>
      </c>
      <c r="D117" s="575"/>
      <c r="E117" s="575"/>
      <c r="F117" s="575"/>
      <c r="G117" s="575"/>
      <c r="H117" s="155"/>
      <c r="I117" s="155"/>
      <c r="J117" s="155"/>
      <c r="K117" s="155"/>
      <c r="L117" s="155"/>
      <c r="M117" s="155"/>
      <c r="N117" s="154"/>
      <c r="O117" s="251"/>
      <c r="P117" s="154"/>
      <c r="Q117" s="154"/>
      <c r="R117" s="155"/>
      <c r="S117" s="155"/>
      <c r="T117" s="155"/>
      <c r="U117" s="155"/>
      <c r="V117" s="155"/>
      <c r="W117" s="155"/>
      <c r="X117" s="155"/>
      <c r="Y117" s="155"/>
      <c r="Z117" s="145"/>
      <c r="AA117" s="145"/>
      <c r="AB117" s="145"/>
      <c r="AC117" s="145"/>
      <c r="AD117" s="145"/>
      <c r="AE117" s="145"/>
      <c r="AF117" s="145"/>
      <c r="AG117" s="145" t="s">
        <v>168</v>
      </c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ht="20.399999999999999" outlineLevel="1" x14ac:dyDescent="0.25">
      <c r="A118" s="172">
        <v>56</v>
      </c>
      <c r="B118" s="173" t="s">
        <v>374</v>
      </c>
      <c r="C118" s="179" t="s">
        <v>375</v>
      </c>
      <c r="D118" s="174" t="s">
        <v>165</v>
      </c>
      <c r="E118" s="175">
        <v>20.29</v>
      </c>
      <c r="F118" s="176"/>
      <c r="G118" s="177">
        <f t="shared" ref="G118:G125" si="16">ROUND(E118*F118,2)</f>
        <v>0</v>
      </c>
      <c r="H118" s="156">
        <v>25.11</v>
      </c>
      <c r="I118" s="155">
        <f t="shared" ref="I118:I125" si="17">ROUND(E118*H118,2)</f>
        <v>509.48</v>
      </c>
      <c r="J118" s="156">
        <v>47.49</v>
      </c>
      <c r="K118" s="155">
        <f t="shared" ref="K118:K125" si="18">ROUND(E118*J118,2)</f>
        <v>963.57</v>
      </c>
      <c r="L118" s="155">
        <v>21</v>
      </c>
      <c r="M118" s="155">
        <f t="shared" ref="M118:M125" si="19">G118*(1+L118/100)</f>
        <v>0</v>
      </c>
      <c r="N118" s="154">
        <v>2.1000000000000001E-4</v>
      </c>
      <c r="O118" s="251">
        <f t="shared" ref="O118:O125" si="20">ROUND(E118*N118,2)</f>
        <v>0</v>
      </c>
      <c r="P118" s="154">
        <v>0</v>
      </c>
      <c r="Q118" s="154">
        <f t="shared" ref="Q118:Q125" si="21">ROUND(E118*P118,2)</f>
        <v>0</v>
      </c>
      <c r="R118" s="155"/>
      <c r="S118" s="155" t="s">
        <v>1198</v>
      </c>
      <c r="T118" s="155" t="s">
        <v>1198</v>
      </c>
      <c r="U118" s="155">
        <v>0.1</v>
      </c>
      <c r="V118" s="155">
        <f t="shared" ref="V118:V125" si="22">ROUND(E118*U118,2)</f>
        <v>2.0299999999999998</v>
      </c>
      <c r="W118" s="155"/>
      <c r="X118" s="155" t="s">
        <v>143</v>
      </c>
      <c r="Y118" s="155" t="s">
        <v>144</v>
      </c>
      <c r="Z118" s="145"/>
      <c r="AA118" s="145"/>
      <c r="AB118" s="145"/>
      <c r="AC118" s="145"/>
      <c r="AD118" s="145"/>
      <c r="AE118" s="145"/>
      <c r="AF118" s="145"/>
      <c r="AG118" s="145" t="s">
        <v>145</v>
      </c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ht="20.399999999999999" outlineLevel="1" x14ac:dyDescent="0.25">
      <c r="A119" s="172">
        <v>57</v>
      </c>
      <c r="B119" s="173" t="s">
        <v>376</v>
      </c>
      <c r="C119" s="179" t="s">
        <v>377</v>
      </c>
      <c r="D119" s="174" t="s">
        <v>165</v>
      </c>
      <c r="E119" s="175">
        <v>141.71</v>
      </c>
      <c r="F119" s="176"/>
      <c r="G119" s="177">
        <f t="shared" si="16"/>
        <v>0</v>
      </c>
      <c r="H119" s="156">
        <v>0</v>
      </c>
      <c r="I119" s="155">
        <f t="shared" si="17"/>
        <v>0</v>
      </c>
      <c r="J119" s="156">
        <v>103.5</v>
      </c>
      <c r="K119" s="155">
        <f t="shared" si="18"/>
        <v>14666.99</v>
      </c>
      <c r="L119" s="155">
        <v>21</v>
      </c>
      <c r="M119" s="155">
        <f t="shared" si="19"/>
        <v>0</v>
      </c>
      <c r="N119" s="154">
        <v>0</v>
      </c>
      <c r="O119" s="251">
        <f t="shared" si="20"/>
        <v>0</v>
      </c>
      <c r="P119" s="154">
        <v>0</v>
      </c>
      <c r="Q119" s="154">
        <f t="shared" si="21"/>
        <v>0</v>
      </c>
      <c r="R119" s="155"/>
      <c r="S119" s="155" t="s">
        <v>1198</v>
      </c>
      <c r="T119" s="155" t="s">
        <v>1198</v>
      </c>
      <c r="U119" s="155">
        <v>0.20699999999999999</v>
      </c>
      <c r="V119" s="155">
        <f t="shared" si="22"/>
        <v>29.33</v>
      </c>
      <c r="W119" s="155"/>
      <c r="X119" s="155" t="s">
        <v>143</v>
      </c>
      <c r="Y119" s="155" t="s">
        <v>144</v>
      </c>
      <c r="Z119" s="145"/>
      <c r="AA119" s="145"/>
      <c r="AB119" s="145"/>
      <c r="AC119" s="145"/>
      <c r="AD119" s="145"/>
      <c r="AE119" s="145"/>
      <c r="AF119" s="145"/>
      <c r="AG119" s="145" t="s">
        <v>145</v>
      </c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outlineLevel="1" x14ac:dyDescent="0.25">
      <c r="A120" s="172">
        <v>58</v>
      </c>
      <c r="B120" s="173" t="s">
        <v>378</v>
      </c>
      <c r="C120" s="179" t="s">
        <v>1194</v>
      </c>
      <c r="D120" s="174" t="s">
        <v>165</v>
      </c>
      <c r="E120" s="175">
        <v>155.881</v>
      </c>
      <c r="F120" s="176"/>
      <c r="G120" s="177">
        <f t="shared" si="16"/>
        <v>0</v>
      </c>
      <c r="H120" s="156">
        <v>272.5</v>
      </c>
      <c r="I120" s="155">
        <f t="shared" si="17"/>
        <v>42477.57</v>
      </c>
      <c r="J120" s="156">
        <v>0</v>
      </c>
      <c r="K120" s="155">
        <f t="shared" si="18"/>
        <v>0</v>
      </c>
      <c r="L120" s="155">
        <v>21</v>
      </c>
      <c r="M120" s="155">
        <f t="shared" si="19"/>
        <v>0</v>
      </c>
      <c r="N120" s="154">
        <v>3.5000000000000001E-3</v>
      </c>
      <c r="O120" s="251">
        <f t="shared" si="20"/>
        <v>0.55000000000000004</v>
      </c>
      <c r="P120" s="154">
        <v>0</v>
      </c>
      <c r="Q120" s="154">
        <f t="shared" si="21"/>
        <v>0</v>
      </c>
      <c r="R120" s="155"/>
      <c r="S120" s="155" t="s">
        <v>1198</v>
      </c>
      <c r="T120" s="155" t="s">
        <v>1198</v>
      </c>
      <c r="U120" s="155">
        <v>0</v>
      </c>
      <c r="V120" s="155">
        <f t="shared" si="22"/>
        <v>0</v>
      </c>
      <c r="W120" s="155"/>
      <c r="X120" s="155" t="s">
        <v>379</v>
      </c>
      <c r="Y120" s="155" t="s">
        <v>144</v>
      </c>
      <c r="Z120" s="145"/>
      <c r="AA120" s="145"/>
      <c r="AB120" s="145"/>
      <c r="AC120" s="145"/>
      <c r="AD120" s="145"/>
      <c r="AE120" s="145"/>
      <c r="AF120" s="145"/>
      <c r="AG120" s="145" t="s">
        <v>380</v>
      </c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ht="20.399999999999999" outlineLevel="1" x14ac:dyDescent="0.25">
      <c r="A121" s="172">
        <v>59</v>
      </c>
      <c r="B121" s="173" t="s">
        <v>381</v>
      </c>
      <c r="C121" s="179" t="s">
        <v>382</v>
      </c>
      <c r="D121" s="174" t="s">
        <v>165</v>
      </c>
      <c r="E121" s="175">
        <v>141.71</v>
      </c>
      <c r="F121" s="176"/>
      <c r="G121" s="177">
        <f t="shared" si="16"/>
        <v>0</v>
      </c>
      <c r="H121" s="156">
        <v>0</v>
      </c>
      <c r="I121" s="155">
        <f t="shared" si="17"/>
        <v>0</v>
      </c>
      <c r="J121" s="156">
        <v>170.5</v>
      </c>
      <c r="K121" s="155">
        <f t="shared" si="18"/>
        <v>24161.56</v>
      </c>
      <c r="L121" s="155">
        <v>21</v>
      </c>
      <c r="M121" s="155">
        <f t="shared" si="19"/>
        <v>0</v>
      </c>
      <c r="N121" s="154">
        <v>0</v>
      </c>
      <c r="O121" s="251">
        <f t="shared" si="20"/>
        <v>0</v>
      </c>
      <c r="P121" s="154">
        <v>0</v>
      </c>
      <c r="Q121" s="154">
        <f t="shared" si="21"/>
        <v>0</v>
      </c>
      <c r="R121" s="155"/>
      <c r="S121" s="155" t="s">
        <v>1198</v>
      </c>
      <c r="T121" s="155" t="s">
        <v>1198</v>
      </c>
      <c r="U121" s="155">
        <v>0.31</v>
      </c>
      <c r="V121" s="155">
        <f t="shared" si="22"/>
        <v>43.93</v>
      </c>
      <c r="W121" s="155"/>
      <c r="X121" s="155" t="s">
        <v>143</v>
      </c>
      <c r="Y121" s="155" t="s">
        <v>144</v>
      </c>
      <c r="Z121" s="145"/>
      <c r="AA121" s="145"/>
      <c r="AB121" s="145"/>
      <c r="AC121" s="145"/>
      <c r="AD121" s="145"/>
      <c r="AE121" s="145"/>
      <c r="AF121" s="145"/>
      <c r="AG121" s="145" t="s">
        <v>145</v>
      </c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ht="20.399999999999999" outlineLevel="1" x14ac:dyDescent="0.25">
      <c r="A122" s="172">
        <v>60</v>
      </c>
      <c r="B122" s="173" t="s">
        <v>383</v>
      </c>
      <c r="C122" s="179" t="s">
        <v>384</v>
      </c>
      <c r="D122" s="174" t="s">
        <v>165</v>
      </c>
      <c r="E122" s="175">
        <v>55.31</v>
      </c>
      <c r="F122" s="176"/>
      <c r="G122" s="177">
        <f t="shared" si="16"/>
        <v>0</v>
      </c>
      <c r="H122" s="156">
        <v>0</v>
      </c>
      <c r="I122" s="155">
        <f t="shared" si="17"/>
        <v>0</v>
      </c>
      <c r="J122" s="156">
        <v>39.200000000000003</v>
      </c>
      <c r="K122" s="155">
        <f t="shared" si="18"/>
        <v>2168.15</v>
      </c>
      <c r="L122" s="155">
        <v>21</v>
      </c>
      <c r="M122" s="155">
        <f t="shared" si="19"/>
        <v>0</v>
      </c>
      <c r="N122" s="154">
        <v>0</v>
      </c>
      <c r="O122" s="251">
        <f t="shared" si="20"/>
        <v>0</v>
      </c>
      <c r="P122" s="154">
        <v>0</v>
      </c>
      <c r="Q122" s="154">
        <f t="shared" si="21"/>
        <v>0</v>
      </c>
      <c r="R122" s="155"/>
      <c r="S122" s="155" t="s">
        <v>1198</v>
      </c>
      <c r="T122" s="155" t="s">
        <v>1198</v>
      </c>
      <c r="U122" s="155">
        <v>7.0000000000000007E-2</v>
      </c>
      <c r="V122" s="155">
        <f t="shared" si="22"/>
        <v>3.87</v>
      </c>
      <c r="W122" s="155"/>
      <c r="X122" s="155" t="s">
        <v>143</v>
      </c>
      <c r="Y122" s="155" t="s">
        <v>144</v>
      </c>
      <c r="Z122" s="145"/>
      <c r="AA122" s="145"/>
      <c r="AB122" s="145"/>
      <c r="AC122" s="145"/>
      <c r="AD122" s="145"/>
      <c r="AE122" s="145"/>
      <c r="AF122" s="145"/>
      <c r="AG122" s="145" t="s">
        <v>145</v>
      </c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1" x14ac:dyDescent="0.25">
      <c r="A123" s="172">
        <v>61</v>
      </c>
      <c r="B123" s="173" t="s">
        <v>385</v>
      </c>
      <c r="C123" s="179" t="s">
        <v>386</v>
      </c>
      <c r="D123" s="174" t="s">
        <v>165</v>
      </c>
      <c r="E123" s="175">
        <v>60.841000000000001</v>
      </c>
      <c r="F123" s="176"/>
      <c r="G123" s="177">
        <f t="shared" si="16"/>
        <v>0</v>
      </c>
      <c r="H123" s="156">
        <v>61.9</v>
      </c>
      <c r="I123" s="155">
        <f t="shared" si="17"/>
        <v>3766.06</v>
      </c>
      <c r="J123" s="156">
        <v>0</v>
      </c>
      <c r="K123" s="155">
        <f t="shared" si="18"/>
        <v>0</v>
      </c>
      <c r="L123" s="155">
        <v>21</v>
      </c>
      <c r="M123" s="155">
        <f t="shared" si="19"/>
        <v>0</v>
      </c>
      <c r="N123" s="154">
        <v>2.9999999999999997E-4</v>
      </c>
      <c r="O123" s="251">
        <f t="shared" si="20"/>
        <v>0.02</v>
      </c>
      <c r="P123" s="154">
        <v>0</v>
      </c>
      <c r="Q123" s="154">
        <f t="shared" si="21"/>
        <v>0</v>
      </c>
      <c r="R123" s="155" t="s">
        <v>173</v>
      </c>
      <c r="S123" s="155" t="s">
        <v>1198</v>
      </c>
      <c r="T123" s="155" t="s">
        <v>1198</v>
      </c>
      <c r="U123" s="155">
        <v>0</v>
      </c>
      <c r="V123" s="155">
        <f t="shared" si="22"/>
        <v>0</v>
      </c>
      <c r="W123" s="155"/>
      <c r="X123" s="155" t="s">
        <v>174</v>
      </c>
      <c r="Y123" s="155" t="s">
        <v>144</v>
      </c>
      <c r="Z123" s="145"/>
      <c r="AA123" s="145"/>
      <c r="AB123" s="145"/>
      <c r="AC123" s="145"/>
      <c r="AD123" s="145"/>
      <c r="AE123" s="145"/>
      <c r="AF123" s="145"/>
      <c r="AG123" s="145" t="s">
        <v>175</v>
      </c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ht="20.399999999999999" outlineLevel="1" x14ac:dyDescent="0.25">
      <c r="A124" s="172">
        <v>62</v>
      </c>
      <c r="B124" s="173" t="s">
        <v>387</v>
      </c>
      <c r="C124" s="179" t="s">
        <v>388</v>
      </c>
      <c r="D124" s="174" t="s">
        <v>165</v>
      </c>
      <c r="E124" s="175">
        <v>20.29</v>
      </c>
      <c r="F124" s="176"/>
      <c r="G124" s="177">
        <f t="shared" si="16"/>
        <v>0</v>
      </c>
      <c r="H124" s="156">
        <v>0</v>
      </c>
      <c r="I124" s="155">
        <f t="shared" si="17"/>
        <v>0</v>
      </c>
      <c r="J124" s="156">
        <v>40</v>
      </c>
      <c r="K124" s="155">
        <f t="shared" si="18"/>
        <v>811.6</v>
      </c>
      <c r="L124" s="155">
        <v>21</v>
      </c>
      <c r="M124" s="155">
        <f t="shared" si="19"/>
        <v>0</v>
      </c>
      <c r="N124" s="154">
        <v>0</v>
      </c>
      <c r="O124" s="251">
        <f t="shared" si="20"/>
        <v>0</v>
      </c>
      <c r="P124" s="154">
        <v>0</v>
      </c>
      <c r="Q124" s="154">
        <f t="shared" si="21"/>
        <v>0</v>
      </c>
      <c r="R124" s="155"/>
      <c r="S124" s="155" t="s">
        <v>1198</v>
      </c>
      <c r="T124" s="155" t="s">
        <v>1198</v>
      </c>
      <c r="U124" s="155">
        <v>0.08</v>
      </c>
      <c r="V124" s="155">
        <f t="shared" si="22"/>
        <v>1.62</v>
      </c>
      <c r="W124" s="155"/>
      <c r="X124" s="155" t="s">
        <v>143</v>
      </c>
      <c r="Y124" s="155" t="s">
        <v>144</v>
      </c>
      <c r="Z124" s="145"/>
      <c r="AA124" s="145"/>
      <c r="AB124" s="145"/>
      <c r="AC124" s="145"/>
      <c r="AD124" s="145"/>
      <c r="AE124" s="145"/>
      <c r="AF124" s="145"/>
      <c r="AG124" s="145" t="s">
        <v>145</v>
      </c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ht="20.399999999999999" outlineLevel="1" x14ac:dyDescent="0.25">
      <c r="A125" s="166">
        <v>63</v>
      </c>
      <c r="B125" s="167" t="s">
        <v>389</v>
      </c>
      <c r="C125" s="180" t="s">
        <v>390</v>
      </c>
      <c r="D125" s="168" t="s">
        <v>165</v>
      </c>
      <c r="E125" s="169">
        <f>SUM(E126:E127)</f>
        <v>114.38000000000001</v>
      </c>
      <c r="F125" s="170"/>
      <c r="G125" s="171">
        <f t="shared" si="16"/>
        <v>0</v>
      </c>
      <c r="H125" s="156">
        <v>9.98</v>
      </c>
      <c r="I125" s="155">
        <f t="shared" si="17"/>
        <v>1141.51</v>
      </c>
      <c r="J125" s="156">
        <v>115.02</v>
      </c>
      <c r="K125" s="155">
        <f t="shared" si="18"/>
        <v>13155.99</v>
      </c>
      <c r="L125" s="155">
        <v>21</v>
      </c>
      <c r="M125" s="155">
        <f t="shared" si="19"/>
        <v>0</v>
      </c>
      <c r="N125" s="154">
        <v>4.0999999999999999E-4</v>
      </c>
      <c r="O125" s="251">
        <f t="shared" si="20"/>
        <v>0.05</v>
      </c>
      <c r="P125" s="154">
        <v>0</v>
      </c>
      <c r="Q125" s="154">
        <f t="shared" si="21"/>
        <v>0</v>
      </c>
      <c r="R125" s="155"/>
      <c r="S125" s="155" t="s">
        <v>1198</v>
      </c>
      <c r="T125" s="155" t="s">
        <v>1198</v>
      </c>
      <c r="U125" s="155">
        <v>0.23</v>
      </c>
      <c r="V125" s="155">
        <f t="shared" si="22"/>
        <v>26.31</v>
      </c>
      <c r="W125" s="155"/>
      <c r="X125" s="155" t="s">
        <v>143</v>
      </c>
      <c r="Y125" s="155" t="s">
        <v>144</v>
      </c>
      <c r="Z125" s="145"/>
      <c r="AA125" s="145"/>
      <c r="AB125" s="145"/>
      <c r="AC125" s="145"/>
      <c r="AD125" s="145"/>
      <c r="AE125" s="145"/>
      <c r="AF125" s="145"/>
      <c r="AG125" s="145" t="s">
        <v>145</v>
      </c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2" x14ac:dyDescent="0.25">
      <c r="A126" s="152"/>
      <c r="B126" s="153"/>
      <c r="C126" s="186" t="s">
        <v>391</v>
      </c>
      <c r="D126" s="184"/>
      <c r="E126" s="185">
        <v>110.62</v>
      </c>
      <c r="F126" s="155"/>
      <c r="G126" s="155"/>
      <c r="H126" s="155"/>
      <c r="I126" s="155"/>
      <c r="J126" s="155"/>
      <c r="K126" s="155"/>
      <c r="L126" s="155"/>
      <c r="M126" s="155"/>
      <c r="N126" s="154"/>
      <c r="O126" s="251"/>
      <c r="P126" s="154"/>
      <c r="Q126" s="154"/>
      <c r="R126" s="155"/>
      <c r="S126" s="155"/>
      <c r="T126" s="155"/>
      <c r="U126" s="155"/>
      <c r="V126" s="155"/>
      <c r="W126" s="155"/>
      <c r="X126" s="155"/>
      <c r="Y126" s="155"/>
      <c r="Z126" s="145"/>
      <c r="AA126" s="145"/>
      <c r="AB126" s="145"/>
      <c r="AC126" s="145"/>
      <c r="AD126" s="145"/>
      <c r="AE126" s="145"/>
      <c r="AF126" s="145"/>
      <c r="AG126" s="145" t="s">
        <v>170</v>
      </c>
      <c r="AH126" s="145">
        <v>0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2" x14ac:dyDescent="0.25">
      <c r="A127" s="152"/>
      <c r="B127" s="153" t="s">
        <v>1192</v>
      </c>
      <c r="C127" s="186" t="s">
        <v>1220</v>
      </c>
      <c r="D127" s="184"/>
      <c r="E127" s="185">
        <f>1.88*2</f>
        <v>3.76</v>
      </c>
      <c r="F127" s="155"/>
      <c r="G127" s="155"/>
      <c r="H127" s="155"/>
      <c r="I127" s="155"/>
      <c r="J127" s="155"/>
      <c r="K127" s="155"/>
      <c r="L127" s="155"/>
      <c r="M127" s="155"/>
      <c r="N127" s="154"/>
      <c r="O127" s="251"/>
      <c r="P127" s="154"/>
      <c r="Q127" s="154"/>
      <c r="R127" s="155"/>
      <c r="S127" s="155"/>
      <c r="T127" s="155"/>
      <c r="U127" s="155"/>
      <c r="V127" s="155"/>
      <c r="W127" s="155"/>
      <c r="X127" s="155"/>
      <c r="Y127" s="15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1" x14ac:dyDescent="0.25">
      <c r="A128" s="166">
        <v>64</v>
      </c>
      <c r="B128" s="167" t="s">
        <v>392</v>
      </c>
      <c r="C128" s="180" t="s">
        <v>393</v>
      </c>
      <c r="D128" s="168" t="s">
        <v>165</v>
      </c>
      <c r="E128" s="169">
        <v>62.908999999999999</v>
      </c>
      <c r="F128" s="170"/>
      <c r="G128" s="171">
        <f>ROUND(E128*F128,2)</f>
        <v>0</v>
      </c>
      <c r="H128" s="156">
        <v>410</v>
      </c>
      <c r="I128" s="155">
        <f>ROUND(E128*H128,2)</f>
        <v>25792.69</v>
      </c>
      <c r="J128" s="156">
        <v>0</v>
      </c>
      <c r="K128" s="155">
        <f>ROUND(E128*J128,2)</f>
        <v>0</v>
      </c>
      <c r="L128" s="155">
        <v>21</v>
      </c>
      <c r="M128" s="155">
        <f>G128*(1+L128/100)</f>
        <v>0</v>
      </c>
      <c r="N128" s="154">
        <v>4.5999999999999999E-3</v>
      </c>
      <c r="O128" s="251">
        <f>ROUND(E128*N128,2)</f>
        <v>0.28999999999999998</v>
      </c>
      <c r="P128" s="154">
        <v>0</v>
      </c>
      <c r="Q128" s="154">
        <f>ROUND(E128*P128,2)</f>
        <v>0</v>
      </c>
      <c r="R128" s="155" t="s">
        <v>173</v>
      </c>
      <c r="S128" s="155" t="s">
        <v>1198</v>
      </c>
      <c r="T128" s="155" t="s">
        <v>1198</v>
      </c>
      <c r="U128" s="155">
        <v>0</v>
      </c>
      <c r="V128" s="155">
        <f>ROUND(E128*U128,2)</f>
        <v>0</v>
      </c>
      <c r="W128" s="155"/>
      <c r="X128" s="155" t="s">
        <v>174</v>
      </c>
      <c r="Y128" s="155" t="s">
        <v>144</v>
      </c>
      <c r="Z128" s="145"/>
      <c r="AA128" s="145"/>
      <c r="AB128" s="145"/>
      <c r="AC128" s="145"/>
      <c r="AD128" s="145"/>
      <c r="AE128" s="145"/>
      <c r="AF128" s="145"/>
      <c r="AG128" s="145" t="s">
        <v>175</v>
      </c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2" x14ac:dyDescent="0.25">
      <c r="A129" s="152"/>
      <c r="B129" s="153"/>
      <c r="C129" s="186" t="s">
        <v>394</v>
      </c>
      <c r="D129" s="184"/>
      <c r="E129" s="185">
        <v>60.841000000000001</v>
      </c>
      <c r="F129" s="155"/>
      <c r="G129" s="155"/>
      <c r="H129" s="155"/>
      <c r="I129" s="155"/>
      <c r="J129" s="155"/>
      <c r="K129" s="155"/>
      <c r="L129" s="155"/>
      <c r="M129" s="155"/>
      <c r="N129" s="154"/>
      <c r="O129" s="251"/>
      <c r="P129" s="154"/>
      <c r="Q129" s="154"/>
      <c r="R129" s="155"/>
      <c r="S129" s="155"/>
      <c r="T129" s="155"/>
      <c r="U129" s="155"/>
      <c r="V129" s="155"/>
      <c r="W129" s="155"/>
      <c r="X129" s="155"/>
      <c r="Y129" s="155"/>
      <c r="Z129" s="145"/>
      <c r="AA129" s="145"/>
      <c r="AB129" s="145"/>
      <c r="AC129" s="145"/>
      <c r="AD129" s="145"/>
      <c r="AE129" s="145"/>
      <c r="AF129" s="145"/>
      <c r="AG129" s="145" t="s">
        <v>170</v>
      </c>
      <c r="AH129" s="145">
        <v>0</v>
      </c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2" x14ac:dyDescent="0.25">
      <c r="A130" s="152"/>
      <c r="B130" s="153"/>
      <c r="C130" s="186" t="s">
        <v>1193</v>
      </c>
      <c r="D130" s="184"/>
      <c r="E130" s="185">
        <f>1.88*1.1</f>
        <v>2.0680000000000001</v>
      </c>
      <c r="F130" s="155"/>
      <c r="G130" s="155"/>
      <c r="H130" s="155"/>
      <c r="I130" s="155"/>
      <c r="J130" s="155"/>
      <c r="K130" s="155"/>
      <c r="L130" s="155"/>
      <c r="M130" s="155"/>
      <c r="N130" s="154"/>
      <c r="O130" s="251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 x14ac:dyDescent="0.25">
      <c r="A131" s="172">
        <v>65</v>
      </c>
      <c r="B131" s="173" t="s">
        <v>395</v>
      </c>
      <c r="C131" s="179" t="s">
        <v>396</v>
      </c>
      <c r="D131" s="174" t="s">
        <v>165</v>
      </c>
      <c r="E131" s="175">
        <v>62.908999999999999</v>
      </c>
      <c r="F131" s="176"/>
      <c r="G131" s="177">
        <f>ROUND(E131*F131,2)</f>
        <v>0</v>
      </c>
      <c r="H131" s="156">
        <v>349.5</v>
      </c>
      <c r="I131" s="155">
        <f>ROUND(E131*H131,2)</f>
        <v>21986.7</v>
      </c>
      <c r="J131" s="156">
        <v>0</v>
      </c>
      <c r="K131" s="155">
        <f>ROUND(E131*J131,2)</f>
        <v>0</v>
      </c>
      <c r="L131" s="155">
        <v>21</v>
      </c>
      <c r="M131" s="155">
        <f>G131*(1+L131/100)</f>
        <v>0</v>
      </c>
      <c r="N131" s="154">
        <v>4.4999999999999997E-3</v>
      </c>
      <c r="O131" s="251">
        <f>ROUND(E131*N131,2)</f>
        <v>0.28000000000000003</v>
      </c>
      <c r="P131" s="154">
        <v>0</v>
      </c>
      <c r="Q131" s="154">
        <f>ROUND(E131*P131,2)</f>
        <v>0</v>
      </c>
      <c r="R131" s="155" t="s">
        <v>173</v>
      </c>
      <c r="S131" s="155" t="s">
        <v>1198</v>
      </c>
      <c r="T131" s="155" t="s">
        <v>1198</v>
      </c>
      <c r="U131" s="155">
        <v>0</v>
      </c>
      <c r="V131" s="155">
        <f>ROUND(E131*U131,2)</f>
        <v>0</v>
      </c>
      <c r="W131" s="155"/>
      <c r="X131" s="155" t="s">
        <v>174</v>
      </c>
      <c r="Y131" s="155" t="s">
        <v>144</v>
      </c>
      <c r="Z131" s="145"/>
      <c r="AA131" s="145"/>
      <c r="AB131" s="145"/>
      <c r="AC131" s="145"/>
      <c r="AD131" s="145"/>
      <c r="AE131" s="145"/>
      <c r="AF131" s="145"/>
      <c r="AG131" s="145" t="s">
        <v>175</v>
      </c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1" x14ac:dyDescent="0.25">
      <c r="A132" s="166">
        <v>66</v>
      </c>
      <c r="B132" s="167" t="s">
        <v>397</v>
      </c>
      <c r="C132" s="180" t="s">
        <v>398</v>
      </c>
      <c r="D132" s="168" t="s">
        <v>165</v>
      </c>
      <c r="E132" s="169">
        <v>155.881</v>
      </c>
      <c r="F132" s="170"/>
      <c r="G132" s="171">
        <f>ROUND(E132*F132,2)</f>
        <v>0</v>
      </c>
      <c r="H132" s="156">
        <v>23.3</v>
      </c>
      <c r="I132" s="155">
        <f>ROUND(E132*H132,2)</f>
        <v>3632.03</v>
      </c>
      <c r="J132" s="156">
        <v>0</v>
      </c>
      <c r="K132" s="155">
        <f>ROUND(E132*J132,2)</f>
        <v>0</v>
      </c>
      <c r="L132" s="155">
        <v>21</v>
      </c>
      <c r="M132" s="155">
        <f>G132*(1+L132/100)</f>
        <v>0</v>
      </c>
      <c r="N132" s="154">
        <v>1.1E-4</v>
      </c>
      <c r="O132" s="251">
        <f>ROUND(E132*N132,2)</f>
        <v>0.02</v>
      </c>
      <c r="P132" s="154">
        <v>0</v>
      </c>
      <c r="Q132" s="154">
        <f>ROUND(E132*P132,2)</f>
        <v>0</v>
      </c>
      <c r="R132" s="155" t="s">
        <v>173</v>
      </c>
      <c r="S132" s="155" t="s">
        <v>1198</v>
      </c>
      <c r="T132" s="155" t="s">
        <v>1198</v>
      </c>
      <c r="U132" s="155">
        <v>0</v>
      </c>
      <c r="V132" s="155">
        <f>ROUND(E132*U132,2)</f>
        <v>0</v>
      </c>
      <c r="W132" s="155"/>
      <c r="X132" s="155" t="s">
        <v>174</v>
      </c>
      <c r="Y132" s="155" t="s">
        <v>144</v>
      </c>
      <c r="Z132" s="145"/>
      <c r="AA132" s="145"/>
      <c r="AB132" s="145"/>
      <c r="AC132" s="145"/>
      <c r="AD132" s="145"/>
      <c r="AE132" s="145"/>
      <c r="AF132" s="145"/>
      <c r="AG132" s="145" t="s">
        <v>175</v>
      </c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2" x14ac:dyDescent="0.25">
      <c r="A133" s="152"/>
      <c r="B133" s="153"/>
      <c r="C133" s="186" t="s">
        <v>399</v>
      </c>
      <c r="D133" s="184"/>
      <c r="E133" s="185">
        <v>155.881</v>
      </c>
      <c r="F133" s="155"/>
      <c r="G133" s="155"/>
      <c r="H133" s="155"/>
      <c r="I133" s="155"/>
      <c r="J133" s="155"/>
      <c r="K133" s="155"/>
      <c r="L133" s="155"/>
      <c r="M133" s="155"/>
      <c r="N133" s="154"/>
      <c r="O133" s="251"/>
      <c r="P133" s="154"/>
      <c r="Q133" s="154"/>
      <c r="R133" s="155"/>
      <c r="S133" s="155"/>
      <c r="T133" s="155"/>
      <c r="U133" s="155"/>
      <c r="V133" s="155"/>
      <c r="W133" s="155"/>
      <c r="X133" s="155"/>
      <c r="Y133" s="155"/>
      <c r="Z133" s="145"/>
      <c r="AA133" s="145"/>
      <c r="AB133" s="145"/>
      <c r="AC133" s="145"/>
      <c r="AD133" s="145"/>
      <c r="AE133" s="145"/>
      <c r="AF133" s="145"/>
      <c r="AG133" s="145" t="s">
        <v>170</v>
      </c>
      <c r="AH133" s="145">
        <v>0</v>
      </c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ht="20.399999999999999" outlineLevel="1" x14ac:dyDescent="0.25">
      <c r="A134" s="166">
        <v>67</v>
      </c>
      <c r="B134" s="167" t="s">
        <v>400</v>
      </c>
      <c r="C134" s="180" t="s">
        <v>401</v>
      </c>
      <c r="D134" s="168" t="s">
        <v>165</v>
      </c>
      <c r="E134" s="169">
        <v>197.02</v>
      </c>
      <c r="F134" s="170"/>
      <c r="G134" s="171">
        <f>ROUND(E134*F134,2)</f>
        <v>0</v>
      </c>
      <c r="H134" s="156">
        <v>4.96</v>
      </c>
      <c r="I134" s="155">
        <f>ROUND(E134*H134,2)</f>
        <v>977.22</v>
      </c>
      <c r="J134" s="156">
        <v>26.14</v>
      </c>
      <c r="K134" s="155">
        <f>ROUND(E134*J134,2)</f>
        <v>5150.1000000000004</v>
      </c>
      <c r="L134" s="155">
        <v>21</v>
      </c>
      <c r="M134" s="155">
        <f>G134*(1+L134/100)</f>
        <v>0</v>
      </c>
      <c r="N134" s="154">
        <v>1.7000000000000001E-4</v>
      </c>
      <c r="O134" s="251">
        <f>ROUND(E134*N134,2)</f>
        <v>0.03</v>
      </c>
      <c r="P134" s="154">
        <v>0</v>
      </c>
      <c r="Q134" s="154">
        <f>ROUND(E134*P134,2)</f>
        <v>0</v>
      </c>
      <c r="R134" s="155"/>
      <c r="S134" s="155" t="s">
        <v>1198</v>
      </c>
      <c r="T134" s="155" t="s">
        <v>1198</v>
      </c>
      <c r="U134" s="155">
        <v>0.05</v>
      </c>
      <c r="V134" s="155">
        <f>ROUND(E134*U134,2)</f>
        <v>9.85</v>
      </c>
      <c r="W134" s="155"/>
      <c r="X134" s="155" t="s">
        <v>143</v>
      </c>
      <c r="Y134" s="155" t="s">
        <v>144</v>
      </c>
      <c r="Z134" s="145"/>
      <c r="AA134" s="145"/>
      <c r="AB134" s="145"/>
      <c r="AC134" s="145"/>
      <c r="AD134" s="145"/>
      <c r="AE134" s="145"/>
      <c r="AF134" s="145"/>
      <c r="AG134" s="145" t="s">
        <v>145</v>
      </c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2" x14ac:dyDescent="0.25">
      <c r="A135" s="152"/>
      <c r="B135" s="153"/>
      <c r="C135" s="186" t="s">
        <v>402</v>
      </c>
      <c r="D135" s="184"/>
      <c r="E135" s="185">
        <v>141.71</v>
      </c>
      <c r="F135" s="155"/>
      <c r="G135" s="155"/>
      <c r="H135" s="155"/>
      <c r="I135" s="155"/>
      <c r="J135" s="155"/>
      <c r="K135" s="155"/>
      <c r="L135" s="155"/>
      <c r="M135" s="155"/>
      <c r="N135" s="154"/>
      <c r="O135" s="251"/>
      <c r="P135" s="154"/>
      <c r="Q135" s="154"/>
      <c r="R135" s="155"/>
      <c r="S135" s="155"/>
      <c r="T135" s="155"/>
      <c r="U135" s="155"/>
      <c r="V135" s="155"/>
      <c r="W135" s="155"/>
      <c r="X135" s="155"/>
      <c r="Y135" s="155"/>
      <c r="Z135" s="145"/>
      <c r="AA135" s="145"/>
      <c r="AB135" s="145"/>
      <c r="AC135" s="145"/>
      <c r="AD135" s="145"/>
      <c r="AE135" s="145"/>
      <c r="AF135" s="145"/>
      <c r="AG135" s="145" t="s">
        <v>170</v>
      </c>
      <c r="AH135" s="145">
        <v>0</v>
      </c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3" x14ac:dyDescent="0.25">
      <c r="A136" s="152"/>
      <c r="B136" s="153"/>
      <c r="C136" s="186" t="s">
        <v>403</v>
      </c>
      <c r="D136" s="184"/>
      <c r="E136" s="185">
        <v>55.31</v>
      </c>
      <c r="F136" s="155"/>
      <c r="G136" s="155"/>
      <c r="H136" s="155"/>
      <c r="I136" s="155"/>
      <c r="J136" s="155"/>
      <c r="K136" s="155"/>
      <c r="L136" s="155"/>
      <c r="M136" s="155"/>
      <c r="N136" s="154"/>
      <c r="O136" s="251"/>
      <c r="P136" s="154"/>
      <c r="Q136" s="154"/>
      <c r="R136" s="155"/>
      <c r="S136" s="155"/>
      <c r="T136" s="155"/>
      <c r="U136" s="155"/>
      <c r="V136" s="155"/>
      <c r="W136" s="155"/>
      <c r="X136" s="155"/>
      <c r="Y136" s="155"/>
      <c r="Z136" s="145"/>
      <c r="AA136" s="145"/>
      <c r="AB136" s="145"/>
      <c r="AC136" s="145"/>
      <c r="AD136" s="145"/>
      <c r="AE136" s="145"/>
      <c r="AF136" s="145"/>
      <c r="AG136" s="145" t="s">
        <v>170</v>
      </c>
      <c r="AH136" s="145">
        <v>0</v>
      </c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 x14ac:dyDescent="0.25">
      <c r="A137" s="166">
        <v>68</v>
      </c>
      <c r="B137" s="167" t="s">
        <v>404</v>
      </c>
      <c r="C137" s="180" t="s">
        <v>405</v>
      </c>
      <c r="D137" s="168" t="s">
        <v>406</v>
      </c>
      <c r="E137" s="169">
        <v>8.6688799999999997</v>
      </c>
      <c r="F137" s="170"/>
      <c r="G137" s="171">
        <f>ROUND(E137*F137,2)</f>
        <v>0</v>
      </c>
      <c r="H137" s="156">
        <v>48.6</v>
      </c>
      <c r="I137" s="155">
        <f>ROUND(E137*H137,2)</f>
        <v>421.31</v>
      </c>
      <c r="J137" s="156">
        <v>0</v>
      </c>
      <c r="K137" s="155">
        <f>ROUND(E137*J137,2)</f>
        <v>0</v>
      </c>
      <c r="L137" s="155">
        <v>21</v>
      </c>
      <c r="M137" s="155">
        <f>G137*(1+L137/100)</f>
        <v>0</v>
      </c>
      <c r="N137" s="154">
        <v>1E-3</v>
      </c>
      <c r="O137" s="251">
        <f>ROUND(E137*N137,2)</f>
        <v>0.01</v>
      </c>
      <c r="P137" s="154">
        <v>0</v>
      </c>
      <c r="Q137" s="154">
        <f>ROUND(E137*P137,2)</f>
        <v>0</v>
      </c>
      <c r="R137" s="155"/>
      <c r="S137" s="155" t="s">
        <v>1198</v>
      </c>
      <c r="T137" s="155" t="s">
        <v>1198</v>
      </c>
      <c r="U137" s="155">
        <v>0</v>
      </c>
      <c r="V137" s="155">
        <f>ROUND(E137*U137,2)</f>
        <v>0</v>
      </c>
      <c r="W137" s="155"/>
      <c r="X137" s="155" t="s">
        <v>379</v>
      </c>
      <c r="Y137" s="155" t="s">
        <v>144</v>
      </c>
      <c r="Z137" s="145"/>
      <c r="AA137" s="145"/>
      <c r="AB137" s="145"/>
      <c r="AC137" s="145"/>
      <c r="AD137" s="145"/>
      <c r="AE137" s="145"/>
      <c r="AF137" s="145"/>
      <c r="AG137" s="145" t="s">
        <v>380</v>
      </c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2" x14ac:dyDescent="0.25">
      <c r="A138" s="152"/>
      <c r="B138" s="153"/>
      <c r="C138" s="186" t="s">
        <v>407</v>
      </c>
      <c r="D138" s="184"/>
      <c r="E138" s="185">
        <v>6.2352400000000001</v>
      </c>
      <c r="F138" s="155"/>
      <c r="G138" s="155"/>
      <c r="H138" s="155"/>
      <c r="I138" s="155"/>
      <c r="J138" s="155"/>
      <c r="K138" s="155"/>
      <c r="L138" s="155"/>
      <c r="M138" s="155"/>
      <c r="N138" s="154"/>
      <c r="O138" s="251"/>
      <c r="P138" s="154"/>
      <c r="Q138" s="154"/>
      <c r="R138" s="155"/>
      <c r="S138" s="155"/>
      <c r="T138" s="155"/>
      <c r="U138" s="155"/>
      <c r="V138" s="155"/>
      <c r="W138" s="155"/>
      <c r="X138" s="155"/>
      <c r="Y138" s="155"/>
      <c r="Z138" s="145"/>
      <c r="AA138" s="145"/>
      <c r="AB138" s="145"/>
      <c r="AC138" s="145"/>
      <c r="AD138" s="145"/>
      <c r="AE138" s="145"/>
      <c r="AF138" s="145"/>
      <c r="AG138" s="145" t="s">
        <v>170</v>
      </c>
      <c r="AH138" s="145">
        <v>0</v>
      </c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3" x14ac:dyDescent="0.25">
      <c r="A139" s="152"/>
      <c r="B139" s="153"/>
      <c r="C139" s="186" t="s">
        <v>408</v>
      </c>
      <c r="D139" s="184"/>
      <c r="E139" s="185">
        <v>2.43364</v>
      </c>
      <c r="F139" s="155"/>
      <c r="G139" s="155"/>
      <c r="H139" s="155"/>
      <c r="I139" s="155"/>
      <c r="J139" s="155"/>
      <c r="K139" s="155"/>
      <c r="L139" s="155"/>
      <c r="M139" s="155"/>
      <c r="N139" s="154"/>
      <c r="O139" s="251"/>
      <c r="P139" s="154"/>
      <c r="Q139" s="154"/>
      <c r="R139" s="155"/>
      <c r="S139" s="155"/>
      <c r="T139" s="155"/>
      <c r="U139" s="155"/>
      <c r="V139" s="155"/>
      <c r="W139" s="155"/>
      <c r="X139" s="155"/>
      <c r="Y139" s="155"/>
      <c r="Z139" s="145"/>
      <c r="AA139" s="145"/>
      <c r="AB139" s="145"/>
      <c r="AC139" s="145"/>
      <c r="AD139" s="145"/>
      <c r="AE139" s="145"/>
      <c r="AF139" s="145"/>
      <c r="AG139" s="145" t="s">
        <v>170</v>
      </c>
      <c r="AH139" s="145">
        <v>0</v>
      </c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 x14ac:dyDescent="0.25">
      <c r="A140" s="166">
        <v>69</v>
      </c>
      <c r="B140" s="167" t="s">
        <v>409</v>
      </c>
      <c r="C140" s="180" t="s">
        <v>410</v>
      </c>
      <c r="D140" s="168" t="s">
        <v>267</v>
      </c>
      <c r="E140" s="169">
        <v>1.2954000000000001</v>
      </c>
      <c r="F140" s="170"/>
      <c r="G140" s="171">
        <f>ROUND(E140*F140,2)</f>
        <v>0</v>
      </c>
      <c r="H140" s="156">
        <v>0</v>
      </c>
      <c r="I140" s="155">
        <f>ROUND(E140*H140,2)</f>
        <v>0</v>
      </c>
      <c r="J140" s="156">
        <v>1230</v>
      </c>
      <c r="K140" s="155">
        <f>ROUND(E140*J140,2)</f>
        <v>1593.34</v>
      </c>
      <c r="L140" s="155">
        <v>21</v>
      </c>
      <c r="M140" s="155">
        <f>G140*(1+L140/100)</f>
        <v>0</v>
      </c>
      <c r="N140" s="154">
        <v>0</v>
      </c>
      <c r="O140" s="251">
        <f>ROUND(E140*N140,2)</f>
        <v>0</v>
      </c>
      <c r="P140" s="154">
        <v>0</v>
      </c>
      <c r="Q140" s="154">
        <f>ROUND(E140*P140,2)</f>
        <v>0</v>
      </c>
      <c r="R140" s="155"/>
      <c r="S140" s="155" t="s">
        <v>1198</v>
      </c>
      <c r="T140" s="155" t="s">
        <v>1198</v>
      </c>
      <c r="U140" s="155">
        <v>1.57</v>
      </c>
      <c r="V140" s="155">
        <f>ROUND(E140*U140,2)</f>
        <v>2.0299999999999998</v>
      </c>
      <c r="W140" s="155"/>
      <c r="X140" s="155" t="s">
        <v>143</v>
      </c>
      <c r="Y140" s="155" t="s">
        <v>144</v>
      </c>
      <c r="Z140" s="145"/>
      <c r="AA140" s="145"/>
      <c r="AB140" s="145"/>
      <c r="AC140" s="145"/>
      <c r="AD140" s="145"/>
      <c r="AE140" s="145"/>
      <c r="AF140" s="145"/>
      <c r="AG140" s="145" t="s">
        <v>145</v>
      </c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3" x14ac:dyDescent="0.25">
      <c r="A141" s="152"/>
      <c r="B141" s="153"/>
      <c r="C141" s="186" t="s">
        <v>411</v>
      </c>
      <c r="D141" s="184"/>
      <c r="E141" s="185">
        <v>1.7149999999999999E-2</v>
      </c>
      <c r="F141" s="155"/>
      <c r="G141" s="155"/>
      <c r="H141" s="155"/>
      <c r="I141" s="155"/>
      <c r="J141" s="155"/>
      <c r="K141" s="155"/>
      <c r="L141" s="155"/>
      <c r="M141" s="155"/>
      <c r="N141" s="154"/>
      <c r="O141" s="251"/>
      <c r="P141" s="154"/>
      <c r="Q141" s="154"/>
      <c r="R141" s="155"/>
      <c r="S141" s="155"/>
      <c r="T141" s="155"/>
      <c r="U141" s="155"/>
      <c r="V141" s="155"/>
      <c r="W141" s="155"/>
      <c r="X141" s="155"/>
      <c r="Y141" s="155"/>
      <c r="Z141" s="145"/>
      <c r="AA141" s="145"/>
      <c r="AB141" s="145"/>
      <c r="AC141" s="145"/>
      <c r="AD141" s="145"/>
      <c r="AE141" s="145"/>
      <c r="AF141" s="145"/>
      <c r="AG141" s="145" t="s">
        <v>170</v>
      </c>
      <c r="AH141" s="145">
        <v>6</v>
      </c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3" x14ac:dyDescent="0.25">
      <c r="A142" s="152"/>
      <c r="B142" s="153"/>
      <c r="C142" s="186" t="s">
        <v>412</v>
      </c>
      <c r="D142" s="184"/>
      <c r="E142" s="185">
        <v>6.8989999999999996E-2</v>
      </c>
      <c r="F142" s="155"/>
      <c r="G142" s="155"/>
      <c r="H142" s="155"/>
      <c r="I142" s="155"/>
      <c r="J142" s="155"/>
      <c r="K142" s="155"/>
      <c r="L142" s="155"/>
      <c r="M142" s="155"/>
      <c r="N142" s="154"/>
      <c r="O142" s="251"/>
      <c r="P142" s="154"/>
      <c r="Q142" s="154"/>
      <c r="R142" s="155"/>
      <c r="S142" s="155"/>
      <c r="T142" s="155"/>
      <c r="U142" s="155"/>
      <c r="V142" s="155"/>
      <c r="W142" s="155"/>
      <c r="X142" s="155"/>
      <c r="Y142" s="155"/>
      <c r="Z142" s="145"/>
      <c r="AA142" s="145"/>
      <c r="AB142" s="145"/>
      <c r="AC142" s="145"/>
      <c r="AD142" s="145"/>
      <c r="AE142" s="145"/>
      <c r="AF142" s="145"/>
      <c r="AG142" s="145" t="s">
        <v>170</v>
      </c>
      <c r="AH142" s="145">
        <v>6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3" x14ac:dyDescent="0.25">
      <c r="A143" s="152"/>
      <c r="B143" s="153"/>
      <c r="C143" s="186" t="s">
        <v>413</v>
      </c>
      <c r="D143" s="184"/>
      <c r="E143" s="185">
        <v>4.2599999999999999E-3</v>
      </c>
      <c r="F143" s="155"/>
      <c r="G143" s="155"/>
      <c r="H143" s="155"/>
      <c r="I143" s="155"/>
      <c r="J143" s="155"/>
      <c r="K143" s="155"/>
      <c r="L143" s="155"/>
      <c r="M143" s="155"/>
      <c r="N143" s="154"/>
      <c r="O143" s="251"/>
      <c r="P143" s="154"/>
      <c r="Q143" s="154"/>
      <c r="R143" s="155"/>
      <c r="S143" s="155"/>
      <c r="T143" s="155"/>
      <c r="U143" s="155"/>
      <c r="V143" s="155"/>
      <c r="W143" s="155"/>
      <c r="X143" s="155"/>
      <c r="Y143" s="155"/>
      <c r="Z143" s="145"/>
      <c r="AA143" s="145"/>
      <c r="AB143" s="145"/>
      <c r="AC143" s="145"/>
      <c r="AD143" s="145"/>
      <c r="AE143" s="145"/>
      <c r="AF143" s="145"/>
      <c r="AG143" s="145" t="s">
        <v>170</v>
      </c>
      <c r="AH143" s="145">
        <v>6</v>
      </c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3" x14ac:dyDescent="0.25">
      <c r="A144" s="152"/>
      <c r="B144" s="153"/>
      <c r="C144" s="186" t="s">
        <v>414</v>
      </c>
      <c r="D144" s="184"/>
      <c r="E144" s="185">
        <v>0.54557999999999995</v>
      </c>
      <c r="F144" s="155"/>
      <c r="G144" s="155"/>
      <c r="H144" s="155"/>
      <c r="I144" s="155"/>
      <c r="J144" s="155"/>
      <c r="K144" s="155"/>
      <c r="L144" s="155"/>
      <c r="M144" s="155"/>
      <c r="N144" s="154"/>
      <c r="O144" s="251"/>
      <c r="P144" s="154"/>
      <c r="Q144" s="154"/>
      <c r="R144" s="155"/>
      <c r="S144" s="155"/>
      <c r="T144" s="155"/>
      <c r="U144" s="155"/>
      <c r="V144" s="155"/>
      <c r="W144" s="155"/>
      <c r="X144" s="155"/>
      <c r="Y144" s="155"/>
      <c r="Z144" s="145"/>
      <c r="AA144" s="145"/>
      <c r="AB144" s="145"/>
      <c r="AC144" s="145"/>
      <c r="AD144" s="145"/>
      <c r="AE144" s="145"/>
      <c r="AF144" s="145"/>
      <c r="AG144" s="145" t="s">
        <v>170</v>
      </c>
      <c r="AH144" s="145">
        <v>6</v>
      </c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3" x14ac:dyDescent="0.25">
      <c r="A145" s="152"/>
      <c r="B145" s="153"/>
      <c r="C145" s="186" t="s">
        <v>415</v>
      </c>
      <c r="D145" s="184"/>
      <c r="E145" s="185">
        <v>1.8249999999999999E-2</v>
      </c>
      <c r="F145" s="155"/>
      <c r="G145" s="155"/>
      <c r="H145" s="155"/>
      <c r="I145" s="155"/>
      <c r="J145" s="155"/>
      <c r="K145" s="155"/>
      <c r="L145" s="155"/>
      <c r="M145" s="155"/>
      <c r="N145" s="154"/>
      <c r="O145" s="251"/>
      <c r="P145" s="154"/>
      <c r="Q145" s="154"/>
      <c r="R145" s="155"/>
      <c r="S145" s="155"/>
      <c r="T145" s="155"/>
      <c r="U145" s="155"/>
      <c r="V145" s="155"/>
      <c r="W145" s="155"/>
      <c r="X145" s="155"/>
      <c r="Y145" s="155"/>
      <c r="Z145" s="145"/>
      <c r="AA145" s="145"/>
      <c r="AB145" s="145"/>
      <c r="AC145" s="145"/>
      <c r="AD145" s="145"/>
      <c r="AE145" s="145"/>
      <c r="AF145" s="145"/>
      <c r="AG145" s="145" t="s">
        <v>170</v>
      </c>
      <c r="AH145" s="145">
        <v>6</v>
      </c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3" x14ac:dyDescent="0.25">
      <c r="A146" s="152"/>
      <c r="B146" s="153"/>
      <c r="C146" s="186" t="s">
        <v>1221</v>
      </c>
      <c r="D146" s="184"/>
      <c r="E146" s="185">
        <f>O125</f>
        <v>0.05</v>
      </c>
      <c r="F146" s="155"/>
      <c r="G146" s="155"/>
      <c r="H146" s="155"/>
      <c r="I146" s="155"/>
      <c r="J146" s="155"/>
      <c r="K146" s="155"/>
      <c r="L146" s="155"/>
      <c r="M146" s="155"/>
      <c r="N146" s="154"/>
      <c r="O146" s="251"/>
      <c r="P146" s="154"/>
      <c r="Q146" s="154"/>
      <c r="R146" s="155"/>
      <c r="S146" s="155"/>
      <c r="T146" s="155"/>
      <c r="U146" s="155"/>
      <c r="V146" s="155"/>
      <c r="W146" s="155"/>
      <c r="X146" s="155"/>
      <c r="Y146" s="155"/>
      <c r="Z146" s="145"/>
      <c r="AA146" s="145"/>
      <c r="AB146" s="145"/>
      <c r="AC146" s="145"/>
      <c r="AD146" s="145"/>
      <c r="AE146" s="145"/>
      <c r="AF146" s="145"/>
      <c r="AG146" s="145" t="s">
        <v>170</v>
      </c>
      <c r="AH146" s="145">
        <v>6</v>
      </c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3" x14ac:dyDescent="0.25">
      <c r="A147" s="152"/>
      <c r="B147" s="153"/>
      <c r="C147" s="186" t="s">
        <v>416</v>
      </c>
      <c r="D147" s="184"/>
      <c r="E147" s="185">
        <v>0.27987000000000001</v>
      </c>
      <c r="F147" s="155"/>
      <c r="G147" s="155"/>
      <c r="H147" s="155"/>
      <c r="I147" s="155"/>
      <c r="J147" s="155"/>
      <c r="K147" s="155"/>
      <c r="L147" s="155"/>
      <c r="M147" s="155"/>
      <c r="N147" s="154"/>
      <c r="O147" s="251"/>
      <c r="P147" s="154"/>
      <c r="Q147" s="154"/>
      <c r="R147" s="155"/>
      <c r="S147" s="155"/>
      <c r="T147" s="155"/>
      <c r="U147" s="155"/>
      <c r="V147" s="155"/>
      <c r="W147" s="155"/>
      <c r="X147" s="155"/>
      <c r="Y147" s="155"/>
      <c r="Z147" s="145"/>
      <c r="AA147" s="145"/>
      <c r="AB147" s="145"/>
      <c r="AC147" s="145"/>
      <c r="AD147" s="145"/>
      <c r="AE147" s="145"/>
      <c r="AF147" s="145"/>
      <c r="AG147" s="145" t="s">
        <v>170</v>
      </c>
      <c r="AH147" s="145">
        <v>6</v>
      </c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3" x14ac:dyDescent="0.25">
      <c r="A148" s="152"/>
      <c r="B148" s="153"/>
      <c r="C148" s="186" t="s">
        <v>417</v>
      </c>
      <c r="D148" s="184"/>
      <c r="E148" s="185">
        <v>0.27378000000000002</v>
      </c>
      <c r="F148" s="155"/>
      <c r="G148" s="155"/>
      <c r="H148" s="155"/>
      <c r="I148" s="155"/>
      <c r="J148" s="155"/>
      <c r="K148" s="155"/>
      <c r="L148" s="155"/>
      <c r="M148" s="155"/>
      <c r="N148" s="154"/>
      <c r="O148" s="251"/>
      <c r="P148" s="154"/>
      <c r="Q148" s="154"/>
      <c r="R148" s="155"/>
      <c r="S148" s="155"/>
      <c r="T148" s="155"/>
      <c r="U148" s="155"/>
      <c r="V148" s="155"/>
      <c r="W148" s="155"/>
      <c r="X148" s="155"/>
      <c r="Y148" s="155"/>
      <c r="Z148" s="145"/>
      <c r="AA148" s="145"/>
      <c r="AB148" s="145"/>
      <c r="AC148" s="145"/>
      <c r="AD148" s="145"/>
      <c r="AE148" s="145"/>
      <c r="AF148" s="145"/>
      <c r="AG148" s="145" t="s">
        <v>170</v>
      </c>
      <c r="AH148" s="145">
        <v>6</v>
      </c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outlineLevel="3" x14ac:dyDescent="0.25">
      <c r="A149" s="152"/>
      <c r="B149" s="153"/>
      <c r="C149" s="186" t="s">
        <v>418</v>
      </c>
      <c r="D149" s="184"/>
      <c r="E149" s="185">
        <v>3.3489999999999999E-2</v>
      </c>
      <c r="F149" s="155"/>
      <c r="G149" s="155"/>
      <c r="H149" s="155"/>
      <c r="I149" s="155"/>
      <c r="J149" s="155"/>
      <c r="K149" s="155"/>
      <c r="L149" s="155"/>
      <c r="M149" s="155"/>
      <c r="N149" s="154"/>
      <c r="O149" s="251"/>
      <c r="P149" s="154"/>
      <c r="Q149" s="154"/>
      <c r="R149" s="155"/>
      <c r="S149" s="155"/>
      <c r="T149" s="155"/>
      <c r="U149" s="155"/>
      <c r="V149" s="155"/>
      <c r="W149" s="155"/>
      <c r="X149" s="155"/>
      <c r="Y149" s="155"/>
      <c r="Z149" s="145"/>
      <c r="AA149" s="145"/>
      <c r="AB149" s="145"/>
      <c r="AC149" s="145"/>
      <c r="AD149" s="145"/>
      <c r="AE149" s="145"/>
      <c r="AF149" s="145"/>
      <c r="AG149" s="145" t="s">
        <v>170</v>
      </c>
      <c r="AH149" s="145">
        <v>6</v>
      </c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3" x14ac:dyDescent="0.25">
      <c r="A150" s="152"/>
      <c r="B150" s="153"/>
      <c r="C150" s="186" t="s">
        <v>419</v>
      </c>
      <c r="D150" s="184"/>
      <c r="E150" s="185">
        <v>8.6700000000000006E-3</v>
      </c>
      <c r="F150" s="155"/>
      <c r="G150" s="155"/>
      <c r="H150" s="155"/>
      <c r="I150" s="155"/>
      <c r="J150" s="155"/>
      <c r="K150" s="155"/>
      <c r="L150" s="155"/>
      <c r="M150" s="155"/>
      <c r="N150" s="154"/>
      <c r="O150" s="251"/>
      <c r="P150" s="154"/>
      <c r="Q150" s="154"/>
      <c r="R150" s="155"/>
      <c r="S150" s="155"/>
      <c r="T150" s="155"/>
      <c r="U150" s="155"/>
      <c r="V150" s="155"/>
      <c r="W150" s="155"/>
      <c r="X150" s="155"/>
      <c r="Y150" s="155"/>
      <c r="Z150" s="145"/>
      <c r="AA150" s="145"/>
      <c r="AB150" s="145"/>
      <c r="AC150" s="145"/>
      <c r="AD150" s="145"/>
      <c r="AE150" s="145"/>
      <c r="AF150" s="145"/>
      <c r="AG150" s="145" t="s">
        <v>170</v>
      </c>
      <c r="AH150" s="145">
        <v>6</v>
      </c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x14ac:dyDescent="0.25">
      <c r="A151" s="159" t="s">
        <v>136</v>
      </c>
      <c r="B151" s="160" t="s">
        <v>85</v>
      </c>
      <c r="C151" s="178" t="s">
        <v>86</v>
      </c>
      <c r="D151" s="161"/>
      <c r="E151" s="162"/>
      <c r="F151" s="163"/>
      <c r="G151" s="164">
        <f>SUMIF(AG152:AG162,"&lt;&gt;NOR",G152:G162)</f>
        <v>0</v>
      </c>
      <c r="H151" s="158"/>
      <c r="I151" s="158">
        <f>SUM(I152:I162)</f>
        <v>96005.69</v>
      </c>
      <c r="J151" s="158"/>
      <c r="K151" s="158">
        <f>SUM(K152:K162)</f>
        <v>75383.679999999993</v>
      </c>
      <c r="L151" s="158"/>
      <c r="M151" s="158">
        <f>SUM(M152:M162)</f>
        <v>0</v>
      </c>
      <c r="N151" s="157"/>
      <c r="O151" s="252">
        <f>SUM(O152:O162)</f>
        <v>0.41000000000000003</v>
      </c>
      <c r="P151" s="157"/>
      <c r="Q151" s="157">
        <f>SUM(Q152:Q162)</f>
        <v>0</v>
      </c>
      <c r="R151" s="158"/>
      <c r="S151" s="158"/>
      <c r="T151" s="158"/>
      <c r="U151" s="158"/>
      <c r="V151" s="158">
        <f>SUM(V152:V162)</f>
        <v>136.94999999999999</v>
      </c>
      <c r="W151" s="158"/>
      <c r="X151" s="158"/>
      <c r="Y151" s="158"/>
      <c r="AG151" t="s">
        <v>137</v>
      </c>
    </row>
    <row r="152" spans="1:60" outlineLevel="1" x14ac:dyDescent="0.25">
      <c r="A152" s="172">
        <v>70</v>
      </c>
      <c r="B152" s="173" t="s">
        <v>420</v>
      </c>
      <c r="C152" s="179" t="s">
        <v>421</v>
      </c>
      <c r="D152" s="174" t="s">
        <v>165</v>
      </c>
      <c r="E152" s="175">
        <v>141.71</v>
      </c>
      <c r="F152" s="176"/>
      <c r="G152" s="177">
        <f>ROUND(E152*F152,2)</f>
        <v>0</v>
      </c>
      <c r="H152" s="156">
        <v>0</v>
      </c>
      <c r="I152" s="155">
        <f>ROUND(E152*H152,2)</f>
        <v>0</v>
      </c>
      <c r="J152" s="156">
        <v>54.5</v>
      </c>
      <c r="K152" s="155">
        <f>ROUND(E152*J152,2)</f>
        <v>7723.2</v>
      </c>
      <c r="L152" s="155">
        <v>21</v>
      </c>
      <c r="M152" s="155">
        <f>G152*(1+L152/100)</f>
        <v>0</v>
      </c>
      <c r="N152" s="154">
        <v>0</v>
      </c>
      <c r="O152" s="251">
        <f>ROUND(E152*N152,2)</f>
        <v>0</v>
      </c>
      <c r="P152" s="154">
        <v>0</v>
      </c>
      <c r="Q152" s="154">
        <f>ROUND(E152*P152,2)</f>
        <v>0</v>
      </c>
      <c r="R152" s="155"/>
      <c r="S152" s="155" t="s">
        <v>1198</v>
      </c>
      <c r="T152" s="155" t="s">
        <v>1198</v>
      </c>
      <c r="U152" s="155">
        <v>0.1</v>
      </c>
      <c r="V152" s="155">
        <f>ROUND(E152*U152,2)</f>
        <v>14.17</v>
      </c>
      <c r="W152" s="155"/>
      <c r="X152" s="155" t="s">
        <v>143</v>
      </c>
      <c r="Y152" s="155" t="s">
        <v>144</v>
      </c>
      <c r="Z152" s="145"/>
      <c r="AA152" s="145"/>
      <c r="AB152" s="145"/>
      <c r="AC152" s="145"/>
      <c r="AD152" s="145"/>
      <c r="AE152" s="145"/>
      <c r="AF152" s="145"/>
      <c r="AG152" s="145" t="s">
        <v>145</v>
      </c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outlineLevel="1" x14ac:dyDescent="0.25">
      <c r="A153" s="172">
        <v>71</v>
      </c>
      <c r="B153" s="173" t="s">
        <v>385</v>
      </c>
      <c r="C153" s="179" t="s">
        <v>386</v>
      </c>
      <c r="D153" s="174" t="s">
        <v>165</v>
      </c>
      <c r="E153" s="175">
        <v>155.881</v>
      </c>
      <c r="F153" s="176"/>
      <c r="G153" s="177">
        <f>ROUND(E153*F153,2)</f>
        <v>0</v>
      </c>
      <c r="H153" s="156">
        <v>61.9</v>
      </c>
      <c r="I153" s="155">
        <f>ROUND(E153*H153,2)</f>
        <v>9649.0300000000007</v>
      </c>
      <c r="J153" s="156">
        <v>0</v>
      </c>
      <c r="K153" s="155">
        <f>ROUND(E153*J153,2)</f>
        <v>0</v>
      </c>
      <c r="L153" s="155">
        <v>21</v>
      </c>
      <c r="M153" s="155">
        <f>G153*(1+L153/100)</f>
        <v>0</v>
      </c>
      <c r="N153" s="154">
        <v>2.9999999999999997E-4</v>
      </c>
      <c r="O153" s="251">
        <f>ROUND(E153*N153,2)</f>
        <v>0.05</v>
      </c>
      <c r="P153" s="154">
        <v>0</v>
      </c>
      <c r="Q153" s="154">
        <f>ROUND(E153*P153,2)</f>
        <v>0</v>
      </c>
      <c r="R153" s="155" t="s">
        <v>173</v>
      </c>
      <c r="S153" s="155" t="s">
        <v>1198</v>
      </c>
      <c r="T153" s="155" t="s">
        <v>1198</v>
      </c>
      <c r="U153" s="155">
        <v>0</v>
      </c>
      <c r="V153" s="155">
        <f>ROUND(E153*U153,2)</f>
        <v>0</v>
      </c>
      <c r="W153" s="155"/>
      <c r="X153" s="155" t="s">
        <v>174</v>
      </c>
      <c r="Y153" s="155" t="s">
        <v>144</v>
      </c>
      <c r="Z153" s="145"/>
      <c r="AA153" s="145"/>
      <c r="AB153" s="145"/>
      <c r="AC153" s="145"/>
      <c r="AD153" s="145"/>
      <c r="AE153" s="145"/>
      <c r="AF153" s="145"/>
      <c r="AG153" s="145" t="s">
        <v>175</v>
      </c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ht="20.399999999999999" outlineLevel="1" x14ac:dyDescent="0.25">
      <c r="A154" s="166">
        <v>72</v>
      </c>
      <c r="B154" s="167" t="s">
        <v>422</v>
      </c>
      <c r="C154" s="180" t="s">
        <v>423</v>
      </c>
      <c r="D154" s="168" t="s">
        <v>165</v>
      </c>
      <c r="E154" s="169">
        <v>141.71</v>
      </c>
      <c r="F154" s="170"/>
      <c r="G154" s="171">
        <f>ROUND(E154*F154,2)</f>
        <v>0</v>
      </c>
      <c r="H154" s="156">
        <v>96.24</v>
      </c>
      <c r="I154" s="155">
        <f>ROUND(E154*H154,2)</f>
        <v>13638.17</v>
      </c>
      <c r="J154" s="156">
        <v>463.76</v>
      </c>
      <c r="K154" s="155">
        <f>ROUND(E154*J154,2)</f>
        <v>65719.429999999993</v>
      </c>
      <c r="L154" s="155">
        <v>21</v>
      </c>
      <c r="M154" s="155">
        <f>G154*(1+L154/100)</f>
        <v>0</v>
      </c>
      <c r="N154" s="154">
        <v>0</v>
      </c>
      <c r="O154" s="251">
        <f>ROUND(E154*N154,2)</f>
        <v>0</v>
      </c>
      <c r="P154" s="154">
        <v>0</v>
      </c>
      <c r="Q154" s="154">
        <f>ROUND(E154*P154,2)</f>
        <v>0</v>
      </c>
      <c r="R154" s="155"/>
      <c r="S154" s="155" t="s">
        <v>1198</v>
      </c>
      <c r="T154" s="155" t="s">
        <v>1198</v>
      </c>
      <c r="U154" s="155">
        <v>0.85</v>
      </c>
      <c r="V154" s="155">
        <f>ROUND(E154*U154,2)</f>
        <v>120.45</v>
      </c>
      <c r="W154" s="155"/>
      <c r="X154" s="155" t="s">
        <v>143</v>
      </c>
      <c r="Y154" s="155" t="s">
        <v>144</v>
      </c>
      <c r="Z154" s="145"/>
      <c r="AA154" s="145"/>
      <c r="AB154" s="145"/>
      <c r="AC154" s="145"/>
      <c r="AD154" s="145"/>
      <c r="AE154" s="145"/>
      <c r="AF154" s="145"/>
      <c r="AG154" s="145" t="s">
        <v>145</v>
      </c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2" x14ac:dyDescent="0.25">
      <c r="A155" s="152"/>
      <c r="B155" s="153"/>
      <c r="C155" s="574" t="s">
        <v>424</v>
      </c>
      <c r="D155" s="575"/>
      <c r="E155" s="575"/>
      <c r="F155" s="575"/>
      <c r="G155" s="575"/>
      <c r="H155" s="155"/>
      <c r="I155" s="155"/>
      <c r="J155" s="155"/>
      <c r="K155" s="155"/>
      <c r="L155" s="155"/>
      <c r="M155" s="155"/>
      <c r="N155" s="154"/>
      <c r="O155" s="251"/>
      <c r="P155" s="154"/>
      <c r="Q155" s="154"/>
      <c r="R155" s="155"/>
      <c r="S155" s="155"/>
      <c r="T155" s="155"/>
      <c r="U155" s="155"/>
      <c r="V155" s="155"/>
      <c r="W155" s="155"/>
      <c r="X155" s="155"/>
      <c r="Y155" s="155"/>
      <c r="Z155" s="145"/>
      <c r="AA155" s="145"/>
      <c r="AB155" s="145"/>
      <c r="AC155" s="145"/>
      <c r="AD155" s="145"/>
      <c r="AE155" s="145"/>
      <c r="AF155" s="145"/>
      <c r="AG155" s="145" t="s">
        <v>168</v>
      </c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1" x14ac:dyDescent="0.25">
      <c r="A156" s="172">
        <v>73</v>
      </c>
      <c r="B156" s="173" t="s">
        <v>425</v>
      </c>
      <c r="C156" s="179" t="s">
        <v>426</v>
      </c>
      <c r="D156" s="174" t="s">
        <v>165</v>
      </c>
      <c r="E156" s="175">
        <v>155.881</v>
      </c>
      <c r="F156" s="176"/>
      <c r="G156" s="177">
        <f>ROUND(E156*F156,2)</f>
        <v>0</v>
      </c>
      <c r="H156" s="156">
        <v>466.5</v>
      </c>
      <c r="I156" s="155">
        <f>ROUND(E156*H156,2)</f>
        <v>72718.490000000005</v>
      </c>
      <c r="J156" s="156">
        <v>0</v>
      </c>
      <c r="K156" s="155">
        <f>ROUND(E156*J156,2)</f>
        <v>0</v>
      </c>
      <c r="L156" s="155">
        <v>21</v>
      </c>
      <c r="M156" s="155">
        <f>G156*(1+L156/100)</f>
        <v>0</v>
      </c>
      <c r="N156" s="154">
        <v>2.2000000000000001E-3</v>
      </c>
      <c r="O156" s="251">
        <f>ROUND(E156*N156,2)</f>
        <v>0.34</v>
      </c>
      <c r="P156" s="154">
        <v>0</v>
      </c>
      <c r="Q156" s="154">
        <f>ROUND(E156*P156,2)</f>
        <v>0</v>
      </c>
      <c r="R156" s="155"/>
      <c r="S156" s="155" t="s">
        <v>1198</v>
      </c>
      <c r="T156" s="155" t="s">
        <v>1198</v>
      </c>
      <c r="U156" s="155">
        <v>0</v>
      </c>
      <c r="V156" s="155">
        <f>ROUND(E156*U156,2)</f>
        <v>0</v>
      </c>
      <c r="W156" s="155"/>
      <c r="X156" s="155" t="s">
        <v>379</v>
      </c>
      <c r="Y156" s="155" t="s">
        <v>144</v>
      </c>
      <c r="Z156" s="145"/>
      <c r="AA156" s="145"/>
      <c r="AB156" s="145"/>
      <c r="AC156" s="145"/>
      <c r="AD156" s="145"/>
      <c r="AE156" s="145"/>
      <c r="AF156" s="145"/>
      <c r="AG156" s="145" t="s">
        <v>380</v>
      </c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1" x14ac:dyDescent="0.25">
      <c r="A157" s="166">
        <v>74</v>
      </c>
      <c r="B157" s="167" t="s">
        <v>427</v>
      </c>
      <c r="C157" s="180" t="s">
        <v>428</v>
      </c>
      <c r="D157" s="168" t="s">
        <v>178</v>
      </c>
      <c r="E157" s="169">
        <v>49.2</v>
      </c>
      <c r="F157" s="170"/>
      <c r="G157" s="171">
        <f>ROUND(E157*F157,2)</f>
        <v>0</v>
      </c>
      <c r="H157" s="156">
        <v>0</v>
      </c>
      <c r="I157" s="155">
        <f>ROUND(E157*H157,2)</f>
        <v>0</v>
      </c>
      <c r="J157" s="156">
        <v>27.2</v>
      </c>
      <c r="K157" s="155">
        <f>ROUND(E157*J157,2)</f>
        <v>1338.24</v>
      </c>
      <c r="L157" s="155">
        <v>21</v>
      </c>
      <c r="M157" s="155">
        <f>G157*(1+L157/100)</f>
        <v>0</v>
      </c>
      <c r="N157" s="154">
        <v>5.0000000000000001E-4</v>
      </c>
      <c r="O157" s="251">
        <f>ROUND(E157*N157,2)</f>
        <v>0.02</v>
      </c>
      <c r="P157" s="154">
        <v>0</v>
      </c>
      <c r="Q157" s="154">
        <f>ROUND(E157*P157,2)</f>
        <v>0</v>
      </c>
      <c r="R157" s="155"/>
      <c r="S157" s="155" t="s">
        <v>141</v>
      </c>
      <c r="T157" s="155" t="s">
        <v>1198</v>
      </c>
      <c r="U157" s="155">
        <v>0.03</v>
      </c>
      <c r="V157" s="155">
        <f>ROUND(E157*U157,2)</f>
        <v>1.48</v>
      </c>
      <c r="W157" s="155"/>
      <c r="X157" s="155" t="s">
        <v>143</v>
      </c>
      <c r="Y157" s="155" t="s">
        <v>144</v>
      </c>
      <c r="Z157" s="145"/>
      <c r="AA157" s="145"/>
      <c r="AB157" s="145"/>
      <c r="AC157" s="145"/>
      <c r="AD157" s="145"/>
      <c r="AE157" s="145"/>
      <c r="AF157" s="145"/>
      <c r="AG157" s="145" t="s">
        <v>145</v>
      </c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2" x14ac:dyDescent="0.25">
      <c r="A158" s="152"/>
      <c r="B158" s="153"/>
      <c r="C158" s="186" t="s">
        <v>429</v>
      </c>
      <c r="D158" s="184"/>
      <c r="E158" s="185">
        <v>49.2</v>
      </c>
      <c r="F158" s="155"/>
      <c r="G158" s="155"/>
      <c r="H158" s="155"/>
      <c r="I158" s="155"/>
      <c r="J158" s="155"/>
      <c r="K158" s="155"/>
      <c r="L158" s="155"/>
      <c r="M158" s="155"/>
      <c r="N158" s="154"/>
      <c r="O158" s="251"/>
      <c r="P158" s="154"/>
      <c r="Q158" s="154"/>
      <c r="R158" s="155"/>
      <c r="S158" s="155"/>
      <c r="T158" s="155"/>
      <c r="U158" s="155"/>
      <c r="V158" s="155"/>
      <c r="W158" s="155"/>
      <c r="X158" s="155"/>
      <c r="Y158" s="155"/>
      <c r="Z158" s="145"/>
      <c r="AA158" s="145"/>
      <c r="AB158" s="145"/>
      <c r="AC158" s="145"/>
      <c r="AD158" s="145"/>
      <c r="AE158" s="145"/>
      <c r="AF158" s="145"/>
      <c r="AG158" s="145" t="s">
        <v>170</v>
      </c>
      <c r="AH158" s="145">
        <v>0</v>
      </c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1" x14ac:dyDescent="0.25">
      <c r="A159" s="166">
        <v>75</v>
      </c>
      <c r="B159" s="167" t="s">
        <v>430</v>
      </c>
      <c r="C159" s="180" t="s">
        <v>431</v>
      </c>
      <c r="D159" s="168" t="s">
        <v>267</v>
      </c>
      <c r="E159" s="169">
        <v>0.4143</v>
      </c>
      <c r="F159" s="170"/>
      <c r="G159" s="171">
        <f>ROUND(E159*F159,2)</f>
        <v>0</v>
      </c>
      <c r="H159" s="156">
        <v>0</v>
      </c>
      <c r="I159" s="155">
        <f>ROUND(E159*H159,2)</f>
        <v>0</v>
      </c>
      <c r="J159" s="156">
        <v>1455</v>
      </c>
      <c r="K159" s="155">
        <f>ROUND(E159*J159,2)</f>
        <v>602.80999999999995</v>
      </c>
      <c r="L159" s="155">
        <v>21</v>
      </c>
      <c r="M159" s="155">
        <f>G159*(1+L159/100)</f>
        <v>0</v>
      </c>
      <c r="N159" s="154">
        <v>0</v>
      </c>
      <c r="O159" s="251">
        <f>ROUND(E159*N159,2)</f>
        <v>0</v>
      </c>
      <c r="P159" s="154">
        <v>0</v>
      </c>
      <c r="Q159" s="154">
        <f>ROUND(E159*P159,2)</f>
        <v>0</v>
      </c>
      <c r="R159" s="155"/>
      <c r="S159" s="155" t="s">
        <v>1198</v>
      </c>
      <c r="T159" s="155" t="s">
        <v>1198</v>
      </c>
      <c r="U159" s="155">
        <v>2.0499999999999998</v>
      </c>
      <c r="V159" s="155">
        <f>ROUND(E159*U159,2)</f>
        <v>0.85</v>
      </c>
      <c r="W159" s="155"/>
      <c r="X159" s="155" t="s">
        <v>143</v>
      </c>
      <c r="Y159" s="155" t="s">
        <v>144</v>
      </c>
      <c r="Z159" s="145"/>
      <c r="AA159" s="145"/>
      <c r="AB159" s="145"/>
      <c r="AC159" s="145"/>
      <c r="AD159" s="145"/>
      <c r="AE159" s="145"/>
      <c r="AF159" s="145"/>
      <c r="AG159" s="145" t="s">
        <v>145</v>
      </c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outlineLevel="3" x14ac:dyDescent="0.25">
      <c r="A160" s="152"/>
      <c r="B160" s="153"/>
      <c r="C160" s="186" t="s">
        <v>432</v>
      </c>
      <c r="D160" s="184"/>
      <c r="E160" s="185">
        <v>4.6760000000000003E-2</v>
      </c>
      <c r="F160" s="155"/>
      <c r="G160" s="155"/>
      <c r="H160" s="155"/>
      <c r="I160" s="155"/>
      <c r="J160" s="155"/>
      <c r="K160" s="155"/>
      <c r="L160" s="155"/>
      <c r="M160" s="155"/>
      <c r="N160" s="154"/>
      <c r="O160" s="251"/>
      <c r="P160" s="154"/>
      <c r="Q160" s="154"/>
      <c r="R160" s="155"/>
      <c r="S160" s="155"/>
      <c r="T160" s="155"/>
      <c r="U160" s="155"/>
      <c r="V160" s="155"/>
      <c r="W160" s="155"/>
      <c r="X160" s="155"/>
      <c r="Y160" s="155"/>
      <c r="Z160" s="145"/>
      <c r="AA160" s="145"/>
      <c r="AB160" s="145"/>
      <c r="AC160" s="145"/>
      <c r="AD160" s="145"/>
      <c r="AE160" s="145"/>
      <c r="AF160" s="145"/>
      <c r="AG160" s="145" t="s">
        <v>170</v>
      </c>
      <c r="AH160" s="145">
        <v>6</v>
      </c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outlineLevel="3" x14ac:dyDescent="0.25">
      <c r="A161" s="152"/>
      <c r="B161" s="153"/>
      <c r="C161" s="186" t="s">
        <v>433</v>
      </c>
      <c r="D161" s="184"/>
      <c r="E161" s="185">
        <v>0.34294000000000002</v>
      </c>
      <c r="F161" s="155"/>
      <c r="G161" s="155"/>
      <c r="H161" s="155"/>
      <c r="I161" s="155"/>
      <c r="J161" s="155"/>
      <c r="K161" s="155"/>
      <c r="L161" s="155"/>
      <c r="M161" s="155"/>
      <c r="N161" s="154"/>
      <c r="O161" s="251"/>
      <c r="P161" s="154"/>
      <c r="Q161" s="154"/>
      <c r="R161" s="155"/>
      <c r="S161" s="155"/>
      <c r="T161" s="155"/>
      <c r="U161" s="155"/>
      <c r="V161" s="155"/>
      <c r="W161" s="155"/>
      <c r="X161" s="155"/>
      <c r="Y161" s="155"/>
      <c r="Z161" s="145"/>
      <c r="AA161" s="145"/>
      <c r="AB161" s="145"/>
      <c r="AC161" s="145"/>
      <c r="AD161" s="145"/>
      <c r="AE161" s="145"/>
      <c r="AF161" s="145"/>
      <c r="AG161" s="145" t="s">
        <v>170</v>
      </c>
      <c r="AH161" s="145">
        <v>6</v>
      </c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outlineLevel="3" x14ac:dyDescent="0.25">
      <c r="A162" s="152"/>
      <c r="B162" s="153"/>
      <c r="C162" s="186" t="s">
        <v>434</v>
      </c>
      <c r="D162" s="184"/>
      <c r="E162" s="185">
        <v>2.46E-2</v>
      </c>
      <c r="F162" s="155"/>
      <c r="G162" s="155"/>
      <c r="H162" s="155"/>
      <c r="I162" s="155"/>
      <c r="J162" s="155"/>
      <c r="K162" s="155"/>
      <c r="L162" s="155"/>
      <c r="M162" s="155"/>
      <c r="N162" s="154"/>
      <c r="O162" s="251"/>
      <c r="P162" s="154"/>
      <c r="Q162" s="154"/>
      <c r="R162" s="155"/>
      <c r="S162" s="155"/>
      <c r="T162" s="155"/>
      <c r="U162" s="155"/>
      <c r="V162" s="155"/>
      <c r="W162" s="155"/>
      <c r="X162" s="155"/>
      <c r="Y162" s="155"/>
      <c r="Z162" s="145"/>
      <c r="AA162" s="145"/>
      <c r="AB162" s="145"/>
      <c r="AC162" s="145"/>
      <c r="AD162" s="145"/>
      <c r="AE162" s="145"/>
      <c r="AF162" s="145"/>
      <c r="AG162" s="145" t="s">
        <v>170</v>
      </c>
      <c r="AH162" s="145">
        <v>6</v>
      </c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x14ac:dyDescent="0.25">
      <c r="A163" s="159" t="s">
        <v>136</v>
      </c>
      <c r="B163" s="160" t="s">
        <v>87</v>
      </c>
      <c r="C163" s="178" t="s">
        <v>88</v>
      </c>
      <c r="D163" s="161"/>
      <c r="E163" s="162"/>
      <c r="F163" s="163"/>
      <c r="G163" s="164">
        <f>SUMIF(AG164:AG178,"&lt;&gt;NOR",G164:G178)</f>
        <v>0</v>
      </c>
      <c r="H163" s="158"/>
      <c r="I163" s="158">
        <f>SUM(I164:I178)</f>
        <v>213659.51999999999</v>
      </c>
      <c r="J163" s="158"/>
      <c r="K163" s="158">
        <f>SUM(K164:K178)</f>
        <v>34787.46</v>
      </c>
      <c r="L163" s="158"/>
      <c r="M163" s="158">
        <f>SUM(M164:M178)</f>
        <v>0</v>
      </c>
      <c r="N163" s="157"/>
      <c r="O163" s="252">
        <f>SUM(O164:O178)</f>
        <v>0.88</v>
      </c>
      <c r="P163" s="157"/>
      <c r="Q163" s="157">
        <f>SUM(Q164:Q178)</f>
        <v>0</v>
      </c>
      <c r="R163" s="158"/>
      <c r="S163" s="158"/>
      <c r="T163" s="158"/>
      <c r="U163" s="158"/>
      <c r="V163" s="158">
        <f>SUM(V164:V178)</f>
        <v>69.400000000000006</v>
      </c>
      <c r="W163" s="158"/>
      <c r="X163" s="158"/>
      <c r="Y163" s="158"/>
      <c r="AG163" t="s">
        <v>137</v>
      </c>
    </row>
    <row r="164" spans="1:60" outlineLevel="1" x14ac:dyDescent="0.25">
      <c r="A164" s="172">
        <v>76</v>
      </c>
      <c r="B164" s="173" t="s">
        <v>435</v>
      </c>
      <c r="C164" s="179" t="s">
        <v>436</v>
      </c>
      <c r="D164" s="174" t="s">
        <v>165</v>
      </c>
      <c r="E164" s="175">
        <v>55.31</v>
      </c>
      <c r="F164" s="176"/>
      <c r="G164" s="177">
        <f>ROUND(E164*F164,2)</f>
        <v>0</v>
      </c>
      <c r="H164" s="156">
        <v>0</v>
      </c>
      <c r="I164" s="155">
        <f>ROUND(E164*H164,2)</f>
        <v>0</v>
      </c>
      <c r="J164" s="156">
        <v>43.6</v>
      </c>
      <c r="K164" s="155">
        <f>ROUND(E164*J164,2)</f>
        <v>2411.52</v>
      </c>
      <c r="L164" s="155">
        <v>21</v>
      </c>
      <c r="M164" s="155">
        <f>G164*(1+L164/100)</f>
        <v>0</v>
      </c>
      <c r="N164" s="154">
        <v>0</v>
      </c>
      <c r="O164" s="251">
        <f>ROUND(E164*N164,2)</f>
        <v>0</v>
      </c>
      <c r="P164" s="154">
        <v>0</v>
      </c>
      <c r="Q164" s="154">
        <f>ROUND(E164*P164,2)</f>
        <v>0</v>
      </c>
      <c r="R164" s="155"/>
      <c r="S164" s="155" t="s">
        <v>1198</v>
      </c>
      <c r="T164" s="155" t="s">
        <v>1198</v>
      </c>
      <c r="U164" s="155">
        <v>0.08</v>
      </c>
      <c r="V164" s="155">
        <f>ROUND(E164*U164,2)</f>
        <v>4.42</v>
      </c>
      <c r="W164" s="155"/>
      <c r="X164" s="155" t="s">
        <v>143</v>
      </c>
      <c r="Y164" s="155" t="s">
        <v>144</v>
      </c>
      <c r="Z164" s="145"/>
      <c r="AA164" s="145"/>
      <c r="AB164" s="145"/>
      <c r="AC164" s="145"/>
      <c r="AD164" s="145"/>
      <c r="AE164" s="145"/>
      <c r="AF164" s="145"/>
      <c r="AG164" s="145" t="s">
        <v>145</v>
      </c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ht="20.399999999999999" outlineLevel="1" x14ac:dyDescent="0.25">
      <c r="A165" s="172">
        <v>77</v>
      </c>
      <c r="B165" s="173" t="s">
        <v>437</v>
      </c>
      <c r="C165" s="179" t="s">
        <v>438</v>
      </c>
      <c r="D165" s="174" t="s">
        <v>165</v>
      </c>
      <c r="E165" s="175">
        <v>141.71</v>
      </c>
      <c r="F165" s="176"/>
      <c r="G165" s="177">
        <f>ROUND(E165*F165,2)</f>
        <v>0</v>
      </c>
      <c r="H165" s="156">
        <v>96.69</v>
      </c>
      <c r="I165" s="155">
        <f>ROUND(E165*H165,2)</f>
        <v>13701.94</v>
      </c>
      <c r="J165" s="156">
        <v>200.81</v>
      </c>
      <c r="K165" s="155">
        <f>ROUND(E165*J165,2)</f>
        <v>28456.79</v>
      </c>
      <c r="L165" s="155">
        <v>21</v>
      </c>
      <c r="M165" s="155">
        <f>G165*(1+L165/100)</f>
        <v>0</v>
      </c>
      <c r="N165" s="154">
        <v>0</v>
      </c>
      <c r="O165" s="251">
        <f>ROUND(E165*N165,2)</f>
        <v>0</v>
      </c>
      <c r="P165" s="154">
        <v>0</v>
      </c>
      <c r="Q165" s="154">
        <f>ROUND(E165*P165,2)</f>
        <v>0</v>
      </c>
      <c r="R165" s="155"/>
      <c r="S165" s="155" t="s">
        <v>1198</v>
      </c>
      <c r="T165" s="155" t="s">
        <v>1198</v>
      </c>
      <c r="U165" s="155">
        <v>0.41</v>
      </c>
      <c r="V165" s="155">
        <f>ROUND(E165*U165,2)</f>
        <v>58.1</v>
      </c>
      <c r="W165" s="155"/>
      <c r="X165" s="155" t="s">
        <v>143</v>
      </c>
      <c r="Y165" s="155" t="s">
        <v>144</v>
      </c>
      <c r="Z165" s="145"/>
      <c r="AA165" s="145"/>
      <c r="AB165" s="145"/>
      <c r="AC165" s="145"/>
      <c r="AD165" s="145"/>
      <c r="AE165" s="145"/>
      <c r="AF165" s="145"/>
      <c r="AG165" s="145" t="s">
        <v>145</v>
      </c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ht="20.399999999999999" outlineLevel="1" x14ac:dyDescent="0.25">
      <c r="A166" s="166">
        <v>78</v>
      </c>
      <c r="B166" s="167" t="s">
        <v>439</v>
      </c>
      <c r="C166" s="180" t="s">
        <v>440</v>
      </c>
      <c r="D166" s="168" t="s">
        <v>241</v>
      </c>
      <c r="E166" s="169">
        <v>29.048690000000001</v>
      </c>
      <c r="F166" s="170"/>
      <c r="G166" s="171">
        <f>ROUND(E166*F166,2)</f>
        <v>0</v>
      </c>
      <c r="H166" s="156">
        <v>6825</v>
      </c>
      <c r="I166" s="155">
        <f>ROUND(E166*H166,2)</f>
        <v>198257.31</v>
      </c>
      <c r="J166" s="156">
        <v>0</v>
      </c>
      <c r="K166" s="155">
        <f>ROUND(E166*J166,2)</f>
        <v>0</v>
      </c>
      <c r="L166" s="155">
        <v>21</v>
      </c>
      <c r="M166" s="155">
        <f>G166*(1+L166/100)</f>
        <v>0</v>
      </c>
      <c r="N166" s="154">
        <v>0.03</v>
      </c>
      <c r="O166" s="251">
        <f>ROUND(E166*N166,2)</f>
        <v>0.87</v>
      </c>
      <c r="P166" s="154">
        <v>0</v>
      </c>
      <c r="Q166" s="154">
        <f>ROUND(E166*P166,2)</f>
        <v>0</v>
      </c>
      <c r="R166" s="155" t="s">
        <v>173</v>
      </c>
      <c r="S166" s="155" t="s">
        <v>1198</v>
      </c>
      <c r="T166" s="155" t="s">
        <v>1198</v>
      </c>
      <c r="U166" s="155">
        <v>0</v>
      </c>
      <c r="V166" s="155">
        <f>ROUND(E166*U166,2)</f>
        <v>0</v>
      </c>
      <c r="W166" s="155"/>
      <c r="X166" s="155" t="s">
        <v>174</v>
      </c>
      <c r="Y166" s="155" t="s">
        <v>144</v>
      </c>
      <c r="Z166" s="145"/>
      <c r="AA166" s="145"/>
      <c r="AB166" s="145"/>
      <c r="AC166" s="145"/>
      <c r="AD166" s="145"/>
      <c r="AE166" s="145"/>
      <c r="AF166" s="145"/>
      <c r="AG166" s="145" t="s">
        <v>175</v>
      </c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2" x14ac:dyDescent="0.25">
      <c r="A167" s="152"/>
      <c r="B167" s="153"/>
      <c r="C167" s="186" t="s">
        <v>441</v>
      </c>
      <c r="D167" s="184"/>
      <c r="E167" s="185">
        <v>18.705719999999999</v>
      </c>
      <c r="F167" s="155"/>
      <c r="G167" s="155"/>
      <c r="H167" s="155"/>
      <c r="I167" s="155"/>
      <c r="J167" s="155"/>
      <c r="K167" s="155"/>
      <c r="L167" s="155"/>
      <c r="M167" s="155"/>
      <c r="N167" s="154"/>
      <c r="O167" s="251"/>
      <c r="P167" s="154"/>
      <c r="Q167" s="154"/>
      <c r="R167" s="155"/>
      <c r="S167" s="155"/>
      <c r="T167" s="155"/>
      <c r="U167" s="155"/>
      <c r="V167" s="155"/>
      <c r="W167" s="155"/>
      <c r="X167" s="155"/>
      <c r="Y167" s="155"/>
      <c r="Z167" s="145"/>
      <c r="AA167" s="145"/>
      <c r="AB167" s="145"/>
      <c r="AC167" s="145"/>
      <c r="AD167" s="145"/>
      <c r="AE167" s="145"/>
      <c r="AF167" s="145"/>
      <c r="AG167" s="145" t="s">
        <v>170</v>
      </c>
      <c r="AH167" s="145">
        <v>0</v>
      </c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3" x14ac:dyDescent="0.25">
      <c r="A168" s="152"/>
      <c r="B168" s="153"/>
      <c r="C168" s="186" t="s">
        <v>442</v>
      </c>
      <c r="D168" s="184"/>
      <c r="E168" s="185">
        <v>10.342969999999999</v>
      </c>
      <c r="F168" s="155"/>
      <c r="G168" s="155"/>
      <c r="H168" s="155"/>
      <c r="I168" s="155"/>
      <c r="J168" s="155"/>
      <c r="K168" s="155"/>
      <c r="L168" s="155"/>
      <c r="M168" s="155"/>
      <c r="N168" s="154"/>
      <c r="O168" s="251"/>
      <c r="P168" s="154"/>
      <c r="Q168" s="154"/>
      <c r="R168" s="155"/>
      <c r="S168" s="155"/>
      <c r="T168" s="155"/>
      <c r="U168" s="155"/>
      <c r="V168" s="155"/>
      <c r="W168" s="155"/>
      <c r="X168" s="155"/>
      <c r="Y168" s="155"/>
      <c r="Z168" s="145"/>
      <c r="AA168" s="145"/>
      <c r="AB168" s="145"/>
      <c r="AC168" s="145"/>
      <c r="AD168" s="145"/>
      <c r="AE168" s="145"/>
      <c r="AF168" s="145"/>
      <c r="AG168" s="145" t="s">
        <v>170</v>
      </c>
      <c r="AH168" s="145">
        <v>0</v>
      </c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1" x14ac:dyDescent="0.25">
      <c r="A169" s="166">
        <v>79</v>
      </c>
      <c r="B169" s="167" t="s">
        <v>443</v>
      </c>
      <c r="C169" s="180" t="s">
        <v>444</v>
      </c>
      <c r="D169" s="168" t="s">
        <v>267</v>
      </c>
      <c r="E169" s="169">
        <v>0.87146000000000001</v>
      </c>
      <c r="F169" s="170"/>
      <c r="G169" s="171">
        <f>ROUND(E169*F169,2)</f>
        <v>0</v>
      </c>
      <c r="H169" s="156">
        <v>0</v>
      </c>
      <c r="I169" s="155">
        <f>ROUND(E169*H169,2)</f>
        <v>0</v>
      </c>
      <c r="J169" s="156">
        <v>1044</v>
      </c>
      <c r="K169" s="155">
        <f>ROUND(E169*J169,2)</f>
        <v>909.8</v>
      </c>
      <c r="L169" s="155">
        <v>21</v>
      </c>
      <c r="M169" s="155">
        <f>G169*(1+L169/100)</f>
        <v>0</v>
      </c>
      <c r="N169" s="154">
        <v>0</v>
      </c>
      <c r="O169" s="251">
        <f>ROUND(E169*N169,2)</f>
        <v>0</v>
      </c>
      <c r="P169" s="154">
        <v>0</v>
      </c>
      <c r="Q169" s="154">
        <f>ROUND(E169*P169,2)</f>
        <v>0</v>
      </c>
      <c r="R169" s="155"/>
      <c r="S169" s="155" t="s">
        <v>1198</v>
      </c>
      <c r="T169" s="155" t="s">
        <v>1198</v>
      </c>
      <c r="U169" s="155">
        <v>1.74</v>
      </c>
      <c r="V169" s="155">
        <f>ROUND(E169*U169,2)</f>
        <v>1.52</v>
      </c>
      <c r="W169" s="155"/>
      <c r="X169" s="155" t="s">
        <v>143</v>
      </c>
      <c r="Y169" s="155" t="s">
        <v>144</v>
      </c>
      <c r="Z169" s="145"/>
      <c r="AA169" s="145"/>
      <c r="AB169" s="145"/>
      <c r="AC169" s="145"/>
      <c r="AD169" s="145"/>
      <c r="AE169" s="145"/>
      <c r="AF169" s="145"/>
      <c r="AG169" s="145" t="s">
        <v>145</v>
      </c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2" x14ac:dyDescent="0.25">
      <c r="A170" s="152"/>
      <c r="B170" s="153"/>
      <c r="C170" s="186" t="s">
        <v>445</v>
      </c>
      <c r="D170" s="184"/>
      <c r="E170" s="185"/>
      <c r="F170" s="155"/>
      <c r="G170" s="155"/>
      <c r="H170" s="155"/>
      <c r="I170" s="155"/>
      <c r="J170" s="155"/>
      <c r="K170" s="155"/>
      <c r="L170" s="155"/>
      <c r="M170" s="155"/>
      <c r="N170" s="154"/>
      <c r="O170" s="251"/>
      <c r="P170" s="154"/>
      <c r="Q170" s="154"/>
      <c r="R170" s="155"/>
      <c r="S170" s="155"/>
      <c r="T170" s="155"/>
      <c r="U170" s="155"/>
      <c r="V170" s="155"/>
      <c r="W170" s="155"/>
      <c r="X170" s="155"/>
      <c r="Y170" s="155"/>
      <c r="Z170" s="145"/>
      <c r="AA170" s="145"/>
      <c r="AB170" s="145"/>
      <c r="AC170" s="145"/>
      <c r="AD170" s="145"/>
      <c r="AE170" s="145"/>
      <c r="AF170" s="145"/>
      <c r="AG170" s="145" t="s">
        <v>170</v>
      </c>
      <c r="AH170" s="145">
        <v>6</v>
      </c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outlineLevel="3" x14ac:dyDescent="0.25">
      <c r="A171" s="152"/>
      <c r="B171" s="153"/>
      <c r="C171" s="186" t="s">
        <v>446</v>
      </c>
      <c r="D171" s="184"/>
      <c r="E171" s="185">
        <v>0.87146000000000001</v>
      </c>
      <c r="F171" s="155"/>
      <c r="G171" s="155"/>
      <c r="H171" s="155"/>
      <c r="I171" s="155"/>
      <c r="J171" s="155"/>
      <c r="K171" s="155"/>
      <c r="L171" s="155"/>
      <c r="M171" s="155"/>
      <c r="N171" s="154"/>
      <c r="O171" s="251"/>
      <c r="P171" s="154"/>
      <c r="Q171" s="154"/>
      <c r="R171" s="155"/>
      <c r="S171" s="155"/>
      <c r="T171" s="155"/>
      <c r="U171" s="155"/>
      <c r="V171" s="155"/>
      <c r="W171" s="155"/>
      <c r="X171" s="155"/>
      <c r="Y171" s="155"/>
      <c r="Z171" s="145"/>
      <c r="AA171" s="145"/>
      <c r="AB171" s="145"/>
      <c r="AC171" s="145"/>
      <c r="AD171" s="145"/>
      <c r="AE171" s="145"/>
      <c r="AF171" s="145"/>
      <c r="AG171" s="145" t="s">
        <v>170</v>
      </c>
      <c r="AH171" s="145">
        <v>6</v>
      </c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outlineLevel="1" x14ac:dyDescent="0.25">
      <c r="A172" s="166">
        <v>80</v>
      </c>
      <c r="B172" s="167" t="s">
        <v>447</v>
      </c>
      <c r="C172" s="180" t="s">
        <v>448</v>
      </c>
      <c r="D172" s="168" t="s">
        <v>178</v>
      </c>
      <c r="E172" s="169">
        <v>76.52</v>
      </c>
      <c r="F172" s="170"/>
      <c r="G172" s="171">
        <f>ROUND(E172*F172,2)</f>
        <v>0</v>
      </c>
      <c r="H172" s="156">
        <v>0</v>
      </c>
      <c r="I172" s="155">
        <f>ROUND(E172*H172,2)</f>
        <v>0</v>
      </c>
      <c r="J172" s="156">
        <v>27.3</v>
      </c>
      <c r="K172" s="155">
        <f>ROUND(E172*J172,2)</f>
        <v>2089</v>
      </c>
      <c r="L172" s="155">
        <v>21</v>
      </c>
      <c r="M172" s="155">
        <f>G172*(1+L172/100)</f>
        <v>0</v>
      </c>
      <c r="N172" s="154">
        <v>0</v>
      </c>
      <c r="O172" s="251">
        <f>ROUND(E172*N172,2)</f>
        <v>0</v>
      </c>
      <c r="P172" s="154">
        <v>0</v>
      </c>
      <c r="Q172" s="154">
        <f>ROUND(E172*P172,2)</f>
        <v>0</v>
      </c>
      <c r="R172" s="155"/>
      <c r="S172" s="155" t="s">
        <v>1198</v>
      </c>
      <c r="T172" s="155" t="s">
        <v>1198</v>
      </c>
      <c r="U172" s="155">
        <v>0.05</v>
      </c>
      <c r="V172" s="155">
        <f>ROUND(E172*U172,2)</f>
        <v>3.83</v>
      </c>
      <c r="W172" s="155"/>
      <c r="X172" s="155" t="s">
        <v>143</v>
      </c>
      <c r="Y172" s="155" t="s">
        <v>144</v>
      </c>
      <c r="Z172" s="145"/>
      <c r="AA172" s="145"/>
      <c r="AB172" s="145"/>
      <c r="AC172" s="145"/>
      <c r="AD172" s="145"/>
      <c r="AE172" s="145"/>
      <c r="AF172" s="145"/>
      <c r="AG172" s="145" t="s">
        <v>145</v>
      </c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ht="20.399999999999999" outlineLevel="2" x14ac:dyDescent="0.25">
      <c r="A173" s="152"/>
      <c r="B173" s="153"/>
      <c r="C173" s="186" t="s">
        <v>449</v>
      </c>
      <c r="D173" s="184"/>
      <c r="E173" s="185">
        <v>76.52</v>
      </c>
      <c r="F173" s="155"/>
      <c r="G173" s="155"/>
      <c r="H173" s="155"/>
      <c r="I173" s="155"/>
      <c r="J173" s="155"/>
      <c r="K173" s="155"/>
      <c r="L173" s="155"/>
      <c r="M173" s="155"/>
      <c r="N173" s="154"/>
      <c r="O173" s="251"/>
      <c r="P173" s="154"/>
      <c r="Q173" s="154"/>
      <c r="R173" s="155"/>
      <c r="S173" s="155"/>
      <c r="T173" s="155"/>
      <c r="U173" s="155"/>
      <c r="V173" s="155"/>
      <c r="W173" s="155"/>
      <c r="X173" s="155"/>
      <c r="Y173" s="155"/>
      <c r="Z173" s="145"/>
      <c r="AA173" s="145"/>
      <c r="AB173" s="145"/>
      <c r="AC173" s="145"/>
      <c r="AD173" s="145"/>
      <c r="AE173" s="145"/>
      <c r="AF173" s="145"/>
      <c r="AG173" s="145" t="s">
        <v>170</v>
      </c>
      <c r="AH173" s="145">
        <v>0</v>
      </c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1" x14ac:dyDescent="0.25">
      <c r="A174" s="166">
        <v>81</v>
      </c>
      <c r="B174" s="167" t="s">
        <v>450</v>
      </c>
      <c r="C174" s="180" t="s">
        <v>451</v>
      </c>
      <c r="D174" s="168" t="s">
        <v>178</v>
      </c>
      <c r="E174" s="169">
        <v>84.171999999999997</v>
      </c>
      <c r="F174" s="170"/>
      <c r="G174" s="171">
        <f>ROUND(E174*F174,2)</f>
        <v>0</v>
      </c>
      <c r="H174" s="156">
        <v>20.2</v>
      </c>
      <c r="I174" s="155">
        <f>ROUND(E174*H174,2)</f>
        <v>1700.27</v>
      </c>
      <c r="J174" s="156">
        <v>0</v>
      </c>
      <c r="K174" s="155">
        <f>ROUND(E174*J174,2)</f>
        <v>0</v>
      </c>
      <c r="L174" s="155">
        <v>21</v>
      </c>
      <c r="M174" s="155">
        <f>G174*(1+L174/100)</f>
        <v>0</v>
      </c>
      <c r="N174" s="154">
        <v>1.2E-4</v>
      </c>
      <c r="O174" s="251">
        <f>ROUND(E174*N174,2)</f>
        <v>0.01</v>
      </c>
      <c r="P174" s="154">
        <v>0</v>
      </c>
      <c r="Q174" s="154">
        <f>ROUND(E174*P174,2)</f>
        <v>0</v>
      </c>
      <c r="R174" s="155" t="s">
        <v>173</v>
      </c>
      <c r="S174" s="155" t="s">
        <v>1198</v>
      </c>
      <c r="T174" s="155" t="s">
        <v>1198</v>
      </c>
      <c r="U174" s="155">
        <v>0</v>
      </c>
      <c r="V174" s="155">
        <f>ROUND(E174*U174,2)</f>
        <v>0</v>
      </c>
      <c r="W174" s="155"/>
      <c r="X174" s="155" t="s">
        <v>174</v>
      </c>
      <c r="Y174" s="155" t="s">
        <v>144</v>
      </c>
      <c r="Z174" s="145"/>
      <c r="AA174" s="145"/>
      <c r="AB174" s="145"/>
      <c r="AC174" s="145"/>
      <c r="AD174" s="145"/>
      <c r="AE174" s="145"/>
      <c r="AF174" s="145"/>
      <c r="AG174" s="145" t="s">
        <v>175</v>
      </c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2" x14ac:dyDescent="0.25">
      <c r="A175" s="152"/>
      <c r="B175" s="153"/>
      <c r="C175" s="186" t="s">
        <v>452</v>
      </c>
      <c r="D175" s="184"/>
      <c r="E175" s="185">
        <v>84.171999999999997</v>
      </c>
      <c r="F175" s="155"/>
      <c r="G175" s="155"/>
      <c r="H175" s="155"/>
      <c r="I175" s="155"/>
      <c r="J175" s="155"/>
      <c r="K175" s="155"/>
      <c r="L175" s="155"/>
      <c r="M175" s="155"/>
      <c r="N175" s="154"/>
      <c r="O175" s="251"/>
      <c r="P175" s="154"/>
      <c r="Q175" s="154"/>
      <c r="R175" s="155"/>
      <c r="S175" s="155"/>
      <c r="T175" s="155"/>
      <c r="U175" s="155"/>
      <c r="V175" s="155"/>
      <c r="W175" s="155"/>
      <c r="X175" s="155"/>
      <c r="Y175" s="155"/>
      <c r="Z175" s="145"/>
      <c r="AA175" s="145"/>
      <c r="AB175" s="145"/>
      <c r="AC175" s="145"/>
      <c r="AD175" s="145"/>
      <c r="AE175" s="145"/>
      <c r="AF175" s="145"/>
      <c r="AG175" s="145" t="s">
        <v>170</v>
      </c>
      <c r="AH175" s="145">
        <v>5</v>
      </c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 x14ac:dyDescent="0.25">
      <c r="A176" s="166">
        <v>82</v>
      </c>
      <c r="B176" s="167" t="s">
        <v>443</v>
      </c>
      <c r="C176" s="180" t="s">
        <v>444</v>
      </c>
      <c r="D176" s="168" t="s">
        <v>267</v>
      </c>
      <c r="E176" s="169">
        <v>0.88156000000000001</v>
      </c>
      <c r="F176" s="170"/>
      <c r="G176" s="171">
        <f>ROUND(E176*F176,2)</f>
        <v>0</v>
      </c>
      <c r="H176" s="156">
        <v>0</v>
      </c>
      <c r="I176" s="155">
        <f>ROUND(E176*H176,2)</f>
        <v>0</v>
      </c>
      <c r="J176" s="156">
        <v>1044</v>
      </c>
      <c r="K176" s="155">
        <f>ROUND(E176*J176,2)</f>
        <v>920.35</v>
      </c>
      <c r="L176" s="155">
        <v>21</v>
      </c>
      <c r="M176" s="155">
        <f>G176*(1+L176/100)</f>
        <v>0</v>
      </c>
      <c r="N176" s="154">
        <v>0</v>
      </c>
      <c r="O176" s="251">
        <f>ROUND(E176*N176,2)</f>
        <v>0</v>
      </c>
      <c r="P176" s="154">
        <v>0</v>
      </c>
      <c r="Q176" s="154">
        <f>ROUND(E176*P176,2)</f>
        <v>0</v>
      </c>
      <c r="R176" s="155"/>
      <c r="S176" s="155" t="s">
        <v>1198</v>
      </c>
      <c r="T176" s="155" t="s">
        <v>1198</v>
      </c>
      <c r="U176" s="155">
        <v>1.74</v>
      </c>
      <c r="V176" s="155">
        <f>ROUND(E176*U176,2)</f>
        <v>1.53</v>
      </c>
      <c r="W176" s="155"/>
      <c r="X176" s="155" t="s">
        <v>143</v>
      </c>
      <c r="Y176" s="155" t="s">
        <v>144</v>
      </c>
      <c r="Z176" s="145"/>
      <c r="AA176" s="145"/>
      <c r="AB176" s="145"/>
      <c r="AC176" s="145"/>
      <c r="AD176" s="145"/>
      <c r="AE176" s="145"/>
      <c r="AF176" s="145"/>
      <c r="AG176" s="145" t="s">
        <v>145</v>
      </c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outlineLevel="3" x14ac:dyDescent="0.25">
      <c r="A177" s="152"/>
      <c r="B177" s="153"/>
      <c r="C177" s="186" t="s">
        <v>446</v>
      </c>
      <c r="D177" s="184"/>
      <c r="E177" s="185">
        <v>0.87146000000000001</v>
      </c>
      <c r="F177" s="155"/>
      <c r="G177" s="155"/>
      <c r="H177" s="155"/>
      <c r="I177" s="155"/>
      <c r="J177" s="155"/>
      <c r="K177" s="155"/>
      <c r="L177" s="155"/>
      <c r="M177" s="155"/>
      <c r="N177" s="154"/>
      <c r="O177" s="251"/>
      <c r="P177" s="154"/>
      <c r="Q177" s="154"/>
      <c r="R177" s="155"/>
      <c r="S177" s="155"/>
      <c r="T177" s="155"/>
      <c r="U177" s="155"/>
      <c r="V177" s="155"/>
      <c r="W177" s="155"/>
      <c r="X177" s="155"/>
      <c r="Y177" s="155"/>
      <c r="Z177" s="145"/>
      <c r="AA177" s="145"/>
      <c r="AB177" s="145"/>
      <c r="AC177" s="145"/>
      <c r="AD177" s="145"/>
      <c r="AE177" s="145"/>
      <c r="AF177" s="145"/>
      <c r="AG177" s="145" t="s">
        <v>170</v>
      </c>
      <c r="AH177" s="145">
        <v>6</v>
      </c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outlineLevel="3" x14ac:dyDescent="0.25">
      <c r="A178" s="152"/>
      <c r="B178" s="153"/>
      <c r="C178" s="186" t="s">
        <v>453</v>
      </c>
      <c r="D178" s="184"/>
      <c r="E178" s="185">
        <v>1.01E-2</v>
      </c>
      <c r="F178" s="155"/>
      <c r="G178" s="155"/>
      <c r="H178" s="155"/>
      <c r="I178" s="155"/>
      <c r="J178" s="155"/>
      <c r="K178" s="155"/>
      <c r="L178" s="155"/>
      <c r="M178" s="155"/>
      <c r="N178" s="154"/>
      <c r="O178" s="251"/>
      <c r="P178" s="154"/>
      <c r="Q178" s="154"/>
      <c r="R178" s="155"/>
      <c r="S178" s="155"/>
      <c r="T178" s="155"/>
      <c r="U178" s="155"/>
      <c r="V178" s="155"/>
      <c r="W178" s="155"/>
      <c r="X178" s="155"/>
      <c r="Y178" s="155"/>
      <c r="Z178" s="145"/>
      <c r="AA178" s="145"/>
      <c r="AB178" s="145"/>
      <c r="AC178" s="145"/>
      <c r="AD178" s="145"/>
      <c r="AE178" s="145"/>
      <c r="AF178" s="145"/>
      <c r="AG178" s="145" t="s">
        <v>170</v>
      </c>
      <c r="AH178" s="145">
        <v>6</v>
      </c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x14ac:dyDescent="0.25">
      <c r="A179" s="159" t="s">
        <v>136</v>
      </c>
      <c r="B179" s="160" t="s">
        <v>89</v>
      </c>
      <c r="C179" s="178" t="s">
        <v>1197</v>
      </c>
      <c r="D179" s="161"/>
      <c r="E179" s="162"/>
      <c r="F179" s="163"/>
      <c r="G179" s="164">
        <f>SUMIF(AG180:AG184,"&lt;&gt;NOR",G180:G184)</f>
        <v>0</v>
      </c>
      <c r="H179" s="158"/>
      <c r="I179" s="158">
        <f>SUM(I180:I184)</f>
        <v>50879.56</v>
      </c>
      <c r="J179" s="158"/>
      <c r="K179" s="158">
        <f>SUM(K180:K184)</f>
        <v>55227.35</v>
      </c>
      <c r="L179" s="158"/>
      <c r="M179" s="158">
        <f>SUM(M180:M184)</f>
        <v>0</v>
      </c>
      <c r="N179" s="157"/>
      <c r="O179" s="252">
        <f>SUM(O180:O184)</f>
        <v>2.9699999999999998</v>
      </c>
      <c r="P179" s="157"/>
      <c r="Q179" s="157">
        <f>SUM(Q180:Q184)</f>
        <v>0</v>
      </c>
      <c r="R179" s="158"/>
      <c r="S179" s="158"/>
      <c r="T179" s="158"/>
      <c r="U179" s="158"/>
      <c r="V179" s="158">
        <f>SUM(V180:V184)</f>
        <v>64.14</v>
      </c>
      <c r="W179" s="158"/>
      <c r="X179" s="158"/>
      <c r="Y179" s="158"/>
      <c r="AG179" t="s">
        <v>137</v>
      </c>
    </row>
    <row r="180" spans="1:60" ht="30.6" outlineLevel="1" x14ac:dyDescent="0.25">
      <c r="A180" s="172">
        <v>83</v>
      </c>
      <c r="B180" s="173" t="s">
        <v>1195</v>
      </c>
      <c r="C180" s="179" t="s">
        <v>1196</v>
      </c>
      <c r="D180" s="174" t="s">
        <v>165</v>
      </c>
      <c r="E180" s="175">
        <v>141.71</v>
      </c>
      <c r="F180" s="176"/>
      <c r="G180" s="177">
        <f>ROUND(E180*F180,2)</f>
        <v>0</v>
      </c>
      <c r="H180" s="156">
        <v>359.04</v>
      </c>
      <c r="I180" s="155">
        <f>ROUND(E180*H180,2)</f>
        <v>50879.56</v>
      </c>
      <c r="J180" s="156">
        <v>110.46</v>
      </c>
      <c r="K180" s="155">
        <f>ROUND(E180*J180,2)</f>
        <v>15653.29</v>
      </c>
      <c r="L180" s="155">
        <v>21</v>
      </c>
      <c r="M180" s="155">
        <f>G180*(1+L180/100)</f>
        <v>0</v>
      </c>
      <c r="N180" s="154">
        <v>1.434E-2</v>
      </c>
      <c r="O180" s="251">
        <f>ROUND(E180*N180,2)</f>
        <v>2.0299999999999998</v>
      </c>
      <c r="P180" s="154">
        <v>0</v>
      </c>
      <c r="Q180" s="154">
        <f>ROUND(E180*P180,2)</f>
        <v>0</v>
      </c>
      <c r="R180" s="155"/>
      <c r="S180" s="155" t="s">
        <v>1198</v>
      </c>
      <c r="T180" s="155" t="s">
        <v>1198</v>
      </c>
      <c r="U180" s="155">
        <v>0.20791999999999999</v>
      </c>
      <c r="V180" s="155">
        <f>ROUND(E180*U180,2)</f>
        <v>29.46</v>
      </c>
      <c r="W180" s="155"/>
      <c r="X180" s="155" t="s">
        <v>143</v>
      </c>
      <c r="Y180" s="155" t="s">
        <v>144</v>
      </c>
      <c r="Z180" s="145"/>
      <c r="AA180" s="145"/>
      <c r="AB180" s="145"/>
      <c r="AC180" s="145"/>
      <c r="AD180" s="145"/>
      <c r="AE180" s="145"/>
      <c r="AF180" s="145"/>
      <c r="AG180" s="145" t="s">
        <v>145</v>
      </c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ht="20.399999999999999" outlineLevel="1" x14ac:dyDescent="0.25">
      <c r="A181" s="172">
        <v>84</v>
      </c>
      <c r="B181" s="173" t="s">
        <v>454</v>
      </c>
      <c r="C181" s="179" t="s">
        <v>455</v>
      </c>
      <c r="D181" s="174" t="s">
        <v>165</v>
      </c>
      <c r="E181" s="175">
        <v>141.71</v>
      </c>
      <c r="F181" s="176"/>
      <c r="G181" s="177">
        <f>ROUND(E181*F181,2)</f>
        <v>0</v>
      </c>
      <c r="H181" s="156">
        <v>0</v>
      </c>
      <c r="I181" s="155">
        <f>ROUND(E181*H181,2)</f>
        <v>0</v>
      </c>
      <c r="J181" s="156">
        <v>242.5</v>
      </c>
      <c r="K181" s="155">
        <f>ROUND(E181*J181,2)</f>
        <v>34364.68</v>
      </c>
      <c r="L181" s="155">
        <v>21</v>
      </c>
      <c r="M181" s="155">
        <f>G181*(1+L181/100)</f>
        <v>0</v>
      </c>
      <c r="N181" s="154">
        <v>6.6E-3</v>
      </c>
      <c r="O181" s="251">
        <f>ROUND(E181*N181,2)</f>
        <v>0.94</v>
      </c>
      <c r="P181" s="154">
        <v>0</v>
      </c>
      <c r="Q181" s="154">
        <f>ROUND(E181*P181,2)</f>
        <v>0</v>
      </c>
      <c r="R181" s="155"/>
      <c r="S181" s="155" t="s">
        <v>141</v>
      </c>
      <c r="T181" s="155" t="s">
        <v>1198</v>
      </c>
      <c r="U181" s="155">
        <v>0.20799999999999999</v>
      </c>
      <c r="V181" s="155">
        <f>ROUND(E181*U181,2)</f>
        <v>29.48</v>
      </c>
      <c r="W181" s="155"/>
      <c r="X181" s="155" t="s">
        <v>143</v>
      </c>
      <c r="Y181" s="155" t="s">
        <v>144</v>
      </c>
      <c r="Z181" s="145"/>
      <c r="AA181" s="145"/>
      <c r="AB181" s="145"/>
      <c r="AC181" s="145"/>
      <c r="AD181" s="145"/>
      <c r="AE181" s="145"/>
      <c r="AF181" s="145"/>
      <c r="AG181" s="145" t="s">
        <v>145</v>
      </c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outlineLevel="1" x14ac:dyDescent="0.25">
      <c r="A182" s="166">
        <v>85</v>
      </c>
      <c r="B182" s="167" t="s">
        <v>456</v>
      </c>
      <c r="C182" s="180" t="s">
        <v>457</v>
      </c>
      <c r="D182" s="168" t="s">
        <v>267</v>
      </c>
      <c r="E182" s="169">
        <f>SUM(E183:E184)</f>
        <v>2.9699999999999998</v>
      </c>
      <c r="F182" s="170"/>
      <c r="G182" s="171">
        <f>ROUND(E182*F182,2)</f>
        <v>0</v>
      </c>
      <c r="H182" s="156">
        <v>0</v>
      </c>
      <c r="I182" s="155">
        <f>ROUND(E182*H182,2)</f>
        <v>0</v>
      </c>
      <c r="J182" s="156">
        <v>1754</v>
      </c>
      <c r="K182" s="155">
        <f>ROUND(E182*J182,2)</f>
        <v>5209.38</v>
      </c>
      <c r="L182" s="155">
        <v>21</v>
      </c>
      <c r="M182" s="155">
        <f>G182*(1+L182/100)</f>
        <v>0</v>
      </c>
      <c r="N182" s="154">
        <v>0</v>
      </c>
      <c r="O182" s="251">
        <f>ROUND(E182*N182,2)</f>
        <v>0</v>
      </c>
      <c r="P182" s="154">
        <v>0</v>
      </c>
      <c r="Q182" s="154">
        <f>ROUND(E182*P182,2)</f>
        <v>0</v>
      </c>
      <c r="R182" s="155"/>
      <c r="S182" s="155" t="s">
        <v>1198</v>
      </c>
      <c r="U182" s="155">
        <v>1.7509999999999999</v>
      </c>
      <c r="V182" s="155">
        <f>ROUND(E182*U182,2)</f>
        <v>5.2</v>
      </c>
      <c r="W182" s="155"/>
      <c r="X182" s="155" t="s">
        <v>143</v>
      </c>
      <c r="Y182" s="155" t="s">
        <v>144</v>
      </c>
      <c r="Z182" s="145"/>
      <c r="AA182" s="145"/>
      <c r="AB182" s="145"/>
      <c r="AC182" s="145"/>
      <c r="AD182" s="145"/>
      <c r="AE182" s="145"/>
      <c r="AF182" s="145"/>
      <c r="AG182" s="145" t="s">
        <v>145</v>
      </c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outlineLevel="2" x14ac:dyDescent="0.25">
      <c r="A183" s="152"/>
      <c r="B183" s="153"/>
      <c r="C183" s="186" t="s">
        <v>1211</v>
      </c>
      <c r="D183" s="184"/>
      <c r="E183" s="185">
        <f>O180</f>
        <v>2.0299999999999998</v>
      </c>
      <c r="F183" s="155"/>
      <c r="G183" s="155"/>
      <c r="H183" s="155"/>
      <c r="I183" s="155"/>
      <c r="J183" s="155"/>
      <c r="K183" s="155"/>
      <c r="L183" s="155"/>
      <c r="M183" s="155"/>
      <c r="N183" s="154"/>
      <c r="O183" s="251"/>
      <c r="P183" s="154"/>
      <c r="Q183" s="154"/>
      <c r="R183" s="155"/>
      <c r="S183" s="155"/>
      <c r="T183" s="155"/>
      <c r="U183" s="155"/>
      <c r="V183" s="155"/>
      <c r="W183" s="155"/>
      <c r="X183" s="155"/>
      <c r="Y183" s="155"/>
      <c r="Z183" s="145"/>
      <c r="AA183" s="145"/>
      <c r="AB183" s="145"/>
      <c r="AC183" s="145"/>
      <c r="AD183" s="145"/>
      <c r="AE183" s="145"/>
      <c r="AF183" s="145"/>
      <c r="AG183" s="145" t="s">
        <v>170</v>
      </c>
      <c r="AH183" s="145">
        <v>6</v>
      </c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outlineLevel="3" x14ac:dyDescent="0.25">
      <c r="A184" s="152"/>
      <c r="B184" s="153"/>
      <c r="C184" s="186" t="s">
        <v>458</v>
      </c>
      <c r="D184" s="184"/>
      <c r="E184" s="185">
        <f>O181</f>
        <v>0.94</v>
      </c>
      <c r="F184" s="155"/>
      <c r="G184" s="155"/>
      <c r="H184" s="155"/>
      <c r="I184" s="155"/>
      <c r="J184" s="155"/>
      <c r="K184" s="155"/>
      <c r="L184" s="155"/>
      <c r="M184" s="155"/>
      <c r="N184" s="154"/>
      <c r="O184" s="251"/>
      <c r="P184" s="154"/>
      <c r="Q184" s="154"/>
      <c r="R184" s="155"/>
      <c r="S184" s="155"/>
      <c r="T184" s="155"/>
      <c r="U184" s="155"/>
      <c r="V184" s="155"/>
      <c r="W184" s="155"/>
      <c r="X184" s="155"/>
      <c r="Y184" s="155"/>
      <c r="Z184" s="145"/>
      <c r="AA184" s="145"/>
      <c r="AB184" s="145"/>
      <c r="AC184" s="145"/>
      <c r="AD184" s="145"/>
      <c r="AE184" s="145"/>
      <c r="AF184" s="145"/>
      <c r="AG184" s="145" t="s">
        <v>170</v>
      </c>
      <c r="AH184" s="145">
        <v>6</v>
      </c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</row>
    <row r="185" spans="1:60" x14ac:dyDescent="0.25">
      <c r="A185" s="159" t="s">
        <v>136</v>
      </c>
      <c r="B185" s="160" t="s">
        <v>91</v>
      </c>
      <c r="C185" s="178" t="s">
        <v>90</v>
      </c>
      <c r="D185" s="161"/>
      <c r="E185" s="162"/>
      <c r="F185" s="163"/>
      <c r="G185" s="164">
        <f>SUMIF(AG186:AG192,"&lt;&gt;NOR",G186:G192)</f>
        <v>0</v>
      </c>
      <c r="H185" s="158"/>
      <c r="I185" s="158">
        <f>SUM(I186:I192)</f>
        <v>4232.84</v>
      </c>
      <c r="J185" s="158"/>
      <c r="K185" s="158">
        <f>SUM(K186:K192)</f>
        <v>855851.38</v>
      </c>
      <c r="L185" s="158"/>
      <c r="M185" s="158">
        <f>SUM(M186:M192)</f>
        <v>0</v>
      </c>
      <c r="N185" s="157"/>
      <c r="O185" s="252">
        <f>SUM(O186:O192)</f>
        <v>7.74</v>
      </c>
      <c r="P185" s="157"/>
      <c r="Q185" s="157">
        <f>SUM(Q186:Q192)</f>
        <v>0</v>
      </c>
      <c r="R185" s="158"/>
      <c r="S185" s="158"/>
      <c r="T185" s="158"/>
      <c r="U185" s="158"/>
      <c r="V185" s="158">
        <f>SUM(V186:V192)</f>
        <v>227.47</v>
      </c>
      <c r="W185" s="158"/>
      <c r="X185" s="158"/>
      <c r="Y185" s="158"/>
      <c r="AG185" t="s">
        <v>137</v>
      </c>
    </row>
    <row r="186" spans="1:60" outlineLevel="1" x14ac:dyDescent="0.25">
      <c r="A186" s="166">
        <v>86</v>
      </c>
      <c r="B186" s="167" t="s">
        <v>459</v>
      </c>
      <c r="C186" s="180" t="s">
        <v>460</v>
      </c>
      <c r="D186" s="168" t="s">
        <v>165</v>
      </c>
      <c r="E186" s="169">
        <v>140.0675</v>
      </c>
      <c r="F186" s="170"/>
      <c r="G186" s="171">
        <f>ROUND(E186*F186,2)</f>
        <v>0</v>
      </c>
      <c r="H186" s="156">
        <v>30.22</v>
      </c>
      <c r="I186" s="155">
        <f>ROUND(E186*H186,2)</f>
        <v>4232.84</v>
      </c>
      <c r="J186" s="156">
        <v>1139.78</v>
      </c>
      <c r="K186" s="155">
        <f>ROUND(E186*J186,2)</f>
        <v>159646.14000000001</v>
      </c>
      <c r="L186" s="155">
        <v>21</v>
      </c>
      <c r="M186" s="155">
        <f>G186*(1+L186/100)</f>
        <v>0</v>
      </c>
      <c r="N186" s="154">
        <v>3.1E-4</v>
      </c>
      <c r="O186" s="251">
        <f>ROUND(E186*N186,2)</f>
        <v>0.04</v>
      </c>
      <c r="P186" s="154">
        <v>0</v>
      </c>
      <c r="Q186" s="154">
        <f>ROUND(E186*P186,2)</f>
        <v>0</v>
      </c>
      <c r="R186" s="155"/>
      <c r="S186" s="155" t="s">
        <v>1198</v>
      </c>
      <c r="T186" s="155" t="s">
        <v>1198</v>
      </c>
      <c r="U186" s="155">
        <v>1.56</v>
      </c>
      <c r="V186" s="155">
        <f>ROUND(E186*U186,2)</f>
        <v>218.51</v>
      </c>
      <c r="W186" s="155"/>
      <c r="X186" s="155" t="s">
        <v>143</v>
      </c>
      <c r="Y186" s="155" t="s">
        <v>144</v>
      </c>
      <c r="Z186" s="145"/>
      <c r="AA186" s="145"/>
      <c r="AB186" s="145"/>
      <c r="AC186" s="145"/>
      <c r="AD186" s="145"/>
      <c r="AE186" s="145"/>
      <c r="AF186" s="145"/>
      <c r="AG186" s="145" t="s">
        <v>145</v>
      </c>
      <c r="AH186" s="145"/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2" x14ac:dyDescent="0.25">
      <c r="A187" s="152"/>
      <c r="B187" s="153"/>
      <c r="C187" s="186" t="s">
        <v>461</v>
      </c>
      <c r="D187" s="184"/>
      <c r="E187" s="185">
        <v>140.0675</v>
      </c>
      <c r="F187" s="155"/>
      <c r="G187" s="155"/>
      <c r="H187" s="155"/>
      <c r="I187" s="155"/>
      <c r="J187" s="155"/>
      <c r="K187" s="155"/>
      <c r="L187" s="155"/>
      <c r="M187" s="155"/>
      <c r="N187" s="154"/>
      <c r="O187" s="251"/>
      <c r="P187" s="154"/>
      <c r="Q187" s="154"/>
      <c r="R187" s="155"/>
      <c r="S187" s="155"/>
      <c r="T187" s="155"/>
      <c r="U187" s="155"/>
      <c r="V187" s="155"/>
      <c r="W187" s="155"/>
      <c r="X187" s="155"/>
      <c r="Y187" s="155"/>
      <c r="Z187" s="145"/>
      <c r="AA187" s="145"/>
      <c r="AB187" s="145"/>
      <c r="AC187" s="145"/>
      <c r="AD187" s="145"/>
      <c r="AE187" s="145"/>
      <c r="AF187" s="145"/>
      <c r="AG187" s="145" t="s">
        <v>170</v>
      </c>
      <c r="AH187" s="145">
        <v>0</v>
      </c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1" x14ac:dyDescent="0.25">
      <c r="A188" s="166">
        <v>87</v>
      </c>
      <c r="B188" s="167" t="s">
        <v>462</v>
      </c>
      <c r="C188" s="180" t="s">
        <v>463</v>
      </c>
      <c r="D188" s="168" t="s">
        <v>165</v>
      </c>
      <c r="E188" s="169">
        <v>154.07425000000001</v>
      </c>
      <c r="F188" s="170"/>
      <c r="G188" s="171">
        <f>ROUND(E188*F188,2)</f>
        <v>0</v>
      </c>
      <c r="H188" s="156">
        <v>0</v>
      </c>
      <c r="I188" s="155">
        <f>ROUND(E188*H188,2)</f>
        <v>0</v>
      </c>
      <c r="J188" s="156">
        <v>4450</v>
      </c>
      <c r="K188" s="155">
        <f>ROUND(E188*J188,2)</f>
        <v>685630.41</v>
      </c>
      <c r="L188" s="155">
        <v>21</v>
      </c>
      <c r="M188" s="155">
        <f>G188*(1+L188/100)</f>
        <v>0</v>
      </c>
      <c r="N188" s="154">
        <v>0.05</v>
      </c>
      <c r="O188" s="251">
        <f>ROUND(E188*N188,2)</f>
        <v>7.7</v>
      </c>
      <c r="P188" s="154">
        <v>0</v>
      </c>
      <c r="Q188" s="154">
        <f>ROUND(E188*P188,2)</f>
        <v>0</v>
      </c>
      <c r="R188" s="155"/>
      <c r="S188" s="155" t="s">
        <v>141</v>
      </c>
      <c r="T188" s="155" t="s">
        <v>142</v>
      </c>
      <c r="U188" s="155">
        <v>0</v>
      </c>
      <c r="V188" s="155">
        <f>ROUND(E188*U188,2)</f>
        <v>0</v>
      </c>
      <c r="W188" s="155"/>
      <c r="X188" s="155" t="s">
        <v>143</v>
      </c>
      <c r="Y188" s="155" t="s">
        <v>144</v>
      </c>
      <c r="Z188" s="145"/>
      <c r="AA188" s="145"/>
      <c r="AB188" s="145"/>
      <c r="AC188" s="145"/>
      <c r="AD188" s="145"/>
      <c r="AE188" s="145"/>
      <c r="AF188" s="145"/>
      <c r="AG188" s="145" t="s">
        <v>145</v>
      </c>
      <c r="AH188" s="145"/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2" x14ac:dyDescent="0.25">
      <c r="A189" s="152"/>
      <c r="B189" s="153"/>
      <c r="C189" s="186" t="s">
        <v>464</v>
      </c>
      <c r="D189" s="184"/>
      <c r="E189" s="185">
        <v>154.07425000000001</v>
      </c>
      <c r="F189" s="155"/>
      <c r="G189" s="155"/>
      <c r="H189" s="155"/>
      <c r="I189" s="155"/>
      <c r="J189" s="155"/>
      <c r="K189" s="155"/>
      <c r="L189" s="155"/>
      <c r="M189" s="155"/>
      <c r="N189" s="154"/>
      <c r="O189" s="251"/>
      <c r="P189" s="154"/>
      <c r="Q189" s="154"/>
      <c r="R189" s="155"/>
      <c r="S189" s="155"/>
      <c r="T189" s="155"/>
      <c r="U189" s="155"/>
      <c r="V189" s="155"/>
      <c r="W189" s="155"/>
      <c r="X189" s="155"/>
      <c r="Y189" s="155"/>
      <c r="Z189" s="145"/>
      <c r="AA189" s="145"/>
      <c r="AB189" s="145"/>
      <c r="AC189" s="145"/>
      <c r="AD189" s="145"/>
      <c r="AE189" s="145"/>
      <c r="AF189" s="145"/>
      <c r="AG189" s="145" t="s">
        <v>170</v>
      </c>
      <c r="AH189" s="145">
        <v>5</v>
      </c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1" x14ac:dyDescent="0.25">
      <c r="A190" s="166">
        <v>88</v>
      </c>
      <c r="B190" s="167" t="s">
        <v>465</v>
      </c>
      <c r="C190" s="180" t="s">
        <v>466</v>
      </c>
      <c r="D190" s="168" t="s">
        <v>267</v>
      </c>
      <c r="E190" s="169">
        <v>7.7471300000000003</v>
      </c>
      <c r="F190" s="170"/>
      <c r="G190" s="171">
        <f>ROUND(E190*F190,2)</f>
        <v>0</v>
      </c>
      <c r="H190" s="156">
        <v>0</v>
      </c>
      <c r="I190" s="155">
        <f>ROUND(E190*H190,2)</f>
        <v>0</v>
      </c>
      <c r="J190" s="156">
        <v>1365</v>
      </c>
      <c r="K190" s="155">
        <f>ROUND(E190*J190,2)</f>
        <v>10574.83</v>
      </c>
      <c r="L190" s="155">
        <v>21</v>
      </c>
      <c r="M190" s="155">
        <f>G190*(1+L190/100)</f>
        <v>0</v>
      </c>
      <c r="N190" s="154">
        <v>0</v>
      </c>
      <c r="O190" s="251">
        <f>ROUND(E190*N190,2)</f>
        <v>0</v>
      </c>
      <c r="P190" s="154">
        <v>0</v>
      </c>
      <c r="Q190" s="154">
        <f>ROUND(E190*P190,2)</f>
        <v>0</v>
      </c>
      <c r="R190" s="155"/>
      <c r="S190" s="155" t="s">
        <v>1198</v>
      </c>
      <c r="T190" s="155" t="s">
        <v>1198</v>
      </c>
      <c r="U190" s="155">
        <v>1.1559999999999999</v>
      </c>
      <c r="V190" s="155">
        <f>ROUND(E190*U190,2)</f>
        <v>8.9600000000000009</v>
      </c>
      <c r="W190" s="155"/>
      <c r="X190" s="155" t="s">
        <v>143</v>
      </c>
      <c r="Y190" s="155" t="s">
        <v>144</v>
      </c>
      <c r="Z190" s="145"/>
      <c r="AA190" s="145"/>
      <c r="AB190" s="145"/>
      <c r="AC190" s="145"/>
      <c r="AD190" s="145"/>
      <c r="AE190" s="145"/>
      <c r="AF190" s="145"/>
      <c r="AG190" s="145" t="s">
        <v>145</v>
      </c>
      <c r="AH190" s="145"/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outlineLevel="2" x14ac:dyDescent="0.25">
      <c r="A191" s="152"/>
      <c r="B191" s="153"/>
      <c r="C191" s="186" t="s">
        <v>467</v>
      </c>
      <c r="D191" s="184"/>
      <c r="E191" s="185">
        <v>7.7037100000000001</v>
      </c>
      <c r="F191" s="155"/>
      <c r="G191" s="155"/>
      <c r="H191" s="155"/>
      <c r="I191" s="155"/>
      <c r="J191" s="155"/>
      <c r="K191" s="155"/>
      <c r="L191" s="155"/>
      <c r="M191" s="155"/>
      <c r="N191" s="154"/>
      <c r="O191" s="251"/>
      <c r="P191" s="154"/>
      <c r="Q191" s="154"/>
      <c r="R191" s="155"/>
      <c r="S191" s="155"/>
      <c r="T191" s="155"/>
      <c r="U191" s="155"/>
      <c r="V191" s="155"/>
      <c r="W191" s="155"/>
      <c r="X191" s="155"/>
      <c r="Y191" s="155"/>
      <c r="Z191" s="145"/>
      <c r="AA191" s="145"/>
      <c r="AB191" s="145"/>
      <c r="AC191" s="145"/>
      <c r="AD191" s="145"/>
      <c r="AE191" s="145"/>
      <c r="AF191" s="145"/>
      <c r="AG191" s="145" t="s">
        <v>170</v>
      </c>
      <c r="AH191" s="145">
        <v>6</v>
      </c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outlineLevel="3" x14ac:dyDescent="0.25">
      <c r="A192" s="152"/>
      <c r="B192" s="153"/>
      <c r="C192" s="186" t="s">
        <v>468</v>
      </c>
      <c r="D192" s="184"/>
      <c r="E192" s="185">
        <v>4.342E-2</v>
      </c>
      <c r="F192" s="155"/>
      <c r="G192" s="155"/>
      <c r="H192" s="155"/>
      <c r="I192" s="155"/>
      <c r="J192" s="155"/>
      <c r="K192" s="155"/>
      <c r="L192" s="155"/>
      <c r="M192" s="155"/>
      <c r="N192" s="154"/>
      <c r="O192" s="251"/>
      <c r="P192" s="154"/>
      <c r="Q192" s="154"/>
      <c r="R192" s="155"/>
      <c r="S192" s="155"/>
      <c r="T192" s="155"/>
      <c r="U192" s="155"/>
      <c r="V192" s="155"/>
      <c r="W192" s="155"/>
      <c r="X192" s="155"/>
      <c r="Y192" s="155"/>
      <c r="Z192" s="145"/>
      <c r="AA192" s="145"/>
      <c r="AB192" s="145"/>
      <c r="AC192" s="145"/>
      <c r="AD192" s="145"/>
      <c r="AE192" s="145"/>
      <c r="AF192" s="145"/>
      <c r="AG192" s="145" t="s">
        <v>170</v>
      </c>
      <c r="AH192" s="145">
        <v>6</v>
      </c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 x14ac:dyDescent="0.25">
      <c r="A193" s="159" t="s">
        <v>136</v>
      </c>
      <c r="B193" s="160" t="s">
        <v>92</v>
      </c>
      <c r="C193" s="178" t="s">
        <v>93</v>
      </c>
      <c r="D193" s="161"/>
      <c r="E193" s="162"/>
      <c r="F193" s="163"/>
      <c r="G193" s="164">
        <f>SUMIF(AG194:AG204,"&lt;&gt;NOR",G194:G204)</f>
        <v>0</v>
      </c>
      <c r="H193" s="158"/>
      <c r="I193" s="158">
        <f>SUM(I194:I204)</f>
        <v>24967.61</v>
      </c>
      <c r="J193" s="158"/>
      <c r="K193" s="158">
        <f>SUM(K194:K204)</f>
        <v>11033.189999999999</v>
      </c>
      <c r="L193" s="158"/>
      <c r="M193" s="158">
        <f>SUM(M194:M204)</f>
        <v>0</v>
      </c>
      <c r="N193" s="157"/>
      <c r="O193" s="252">
        <f>SUM(O194:O204)</f>
        <v>0.11</v>
      </c>
      <c r="P193" s="157"/>
      <c r="Q193" s="157">
        <f>SUM(Q194:Q204)</f>
        <v>0</v>
      </c>
      <c r="R193" s="158"/>
      <c r="S193" s="158"/>
      <c r="T193" s="158"/>
      <c r="U193" s="158"/>
      <c r="V193" s="158">
        <f>SUM(V194:V204)</f>
        <v>19.989999999999998</v>
      </c>
      <c r="W193" s="158"/>
      <c r="X193" s="158"/>
      <c r="Y193" s="158"/>
      <c r="AG193" t="s">
        <v>137</v>
      </c>
    </row>
    <row r="194" spans="1:60" ht="20.399999999999999" outlineLevel="1" x14ac:dyDescent="0.25">
      <c r="A194" s="166">
        <v>89</v>
      </c>
      <c r="B194" s="167" t="s">
        <v>469</v>
      </c>
      <c r="C194" s="180" t="s">
        <v>470</v>
      </c>
      <c r="D194" s="168" t="s">
        <v>178</v>
      </c>
      <c r="E194" s="169">
        <v>7.5</v>
      </c>
      <c r="F194" s="170"/>
      <c r="G194" s="171">
        <f>ROUND(E194*F194,2)</f>
        <v>0</v>
      </c>
      <c r="H194" s="156">
        <v>345.68</v>
      </c>
      <c r="I194" s="155">
        <f>ROUND(E194*H194,2)</f>
        <v>2592.6</v>
      </c>
      <c r="J194" s="156">
        <v>154.32</v>
      </c>
      <c r="K194" s="155">
        <f>ROUND(E194*J194,2)</f>
        <v>1157.4000000000001</v>
      </c>
      <c r="L194" s="155">
        <v>21</v>
      </c>
      <c r="M194" s="155">
        <f>G194*(1+L194/100)</f>
        <v>0</v>
      </c>
      <c r="N194" s="154">
        <v>4.0999999999999999E-4</v>
      </c>
      <c r="O194" s="251">
        <f>ROUND(E194*N194,2)</f>
        <v>0</v>
      </c>
      <c r="P194" s="154">
        <v>0</v>
      </c>
      <c r="Q194" s="154">
        <f>ROUND(E194*P194,2)</f>
        <v>0</v>
      </c>
      <c r="R194" s="155"/>
      <c r="S194" s="155" t="s">
        <v>1198</v>
      </c>
      <c r="T194" s="155" t="s">
        <v>1198</v>
      </c>
      <c r="U194" s="155">
        <v>0.26400000000000001</v>
      </c>
      <c r="V194" s="155">
        <f>ROUND(E194*U194,2)</f>
        <v>1.98</v>
      </c>
      <c r="W194" s="155"/>
      <c r="X194" s="155" t="s">
        <v>143</v>
      </c>
      <c r="Y194" s="155" t="s">
        <v>144</v>
      </c>
      <c r="Z194" s="145"/>
      <c r="AA194" s="145"/>
      <c r="AB194" s="145"/>
      <c r="AC194" s="145"/>
      <c r="AD194" s="145"/>
      <c r="AE194" s="145"/>
      <c r="AF194" s="145"/>
      <c r="AG194" s="145" t="s">
        <v>145</v>
      </c>
      <c r="AH194" s="145"/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outlineLevel="2" x14ac:dyDescent="0.25">
      <c r="A195" s="152"/>
      <c r="B195" s="153"/>
      <c r="C195" s="574" t="s">
        <v>471</v>
      </c>
      <c r="D195" s="575"/>
      <c r="E195" s="575"/>
      <c r="F195" s="575"/>
      <c r="G195" s="575"/>
      <c r="H195" s="155"/>
      <c r="I195" s="155"/>
      <c r="J195" s="155"/>
      <c r="K195" s="155"/>
      <c r="L195" s="155"/>
      <c r="M195" s="155"/>
      <c r="N195" s="154"/>
      <c r="O195" s="251"/>
      <c r="P195" s="154"/>
      <c r="Q195" s="154"/>
      <c r="R195" s="155"/>
      <c r="S195" s="155"/>
      <c r="T195" s="155"/>
      <c r="U195" s="155"/>
      <c r="V195" s="155"/>
      <c r="W195" s="155"/>
      <c r="X195" s="155"/>
      <c r="Y195" s="155"/>
      <c r="Z195" s="145"/>
      <c r="AA195" s="145"/>
      <c r="AB195" s="145"/>
      <c r="AC195" s="145"/>
      <c r="AD195" s="145"/>
      <c r="AE195" s="145"/>
      <c r="AF195" s="145"/>
      <c r="AG195" s="145" t="s">
        <v>168</v>
      </c>
      <c r="AH195" s="145"/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45"/>
      <c r="BB195" s="145"/>
      <c r="BC195" s="145"/>
      <c r="BD195" s="145"/>
      <c r="BE195" s="145"/>
      <c r="BF195" s="145"/>
      <c r="BG195" s="145"/>
      <c r="BH195" s="145"/>
    </row>
    <row r="196" spans="1:60" outlineLevel="1" x14ac:dyDescent="0.25">
      <c r="A196" s="166">
        <v>90</v>
      </c>
      <c r="B196" s="167" t="s">
        <v>472</v>
      </c>
      <c r="C196" s="180" t="s">
        <v>473</v>
      </c>
      <c r="D196" s="168" t="s">
        <v>178</v>
      </c>
      <c r="E196" s="169">
        <v>16</v>
      </c>
      <c r="F196" s="170"/>
      <c r="G196" s="171">
        <f>ROUND(E196*F196,2)</f>
        <v>0</v>
      </c>
      <c r="H196" s="156">
        <v>554.23</v>
      </c>
      <c r="I196" s="155">
        <f>ROUND(E196*H196,2)</f>
        <v>8867.68</v>
      </c>
      <c r="J196" s="156">
        <v>163.77000000000001</v>
      </c>
      <c r="K196" s="155">
        <f>ROUND(E196*J196,2)</f>
        <v>2620.3200000000002</v>
      </c>
      <c r="L196" s="155">
        <v>21</v>
      </c>
      <c r="M196" s="155">
        <f>G196*(1+L196/100)</f>
        <v>0</v>
      </c>
      <c r="N196" s="154">
        <v>1.97E-3</v>
      </c>
      <c r="O196" s="251">
        <f>ROUND(E196*N196,2)</f>
        <v>0.03</v>
      </c>
      <c r="P196" s="154">
        <v>0</v>
      </c>
      <c r="Q196" s="154">
        <f>ROUND(E196*P196,2)</f>
        <v>0</v>
      </c>
      <c r="R196" s="155"/>
      <c r="S196" s="155" t="s">
        <v>1198</v>
      </c>
      <c r="T196" s="155" t="s">
        <v>1198</v>
      </c>
      <c r="U196" s="155">
        <v>0.29399999999999998</v>
      </c>
      <c r="V196" s="155">
        <f>ROUND(E196*U196,2)</f>
        <v>4.7</v>
      </c>
      <c r="W196" s="155"/>
      <c r="X196" s="155" t="s">
        <v>143</v>
      </c>
      <c r="Y196" s="155" t="s">
        <v>144</v>
      </c>
      <c r="Z196" s="145"/>
      <c r="AA196" s="145"/>
      <c r="AB196" s="145"/>
      <c r="AC196" s="145"/>
      <c r="AD196" s="145"/>
      <c r="AE196" s="145"/>
      <c r="AF196" s="145"/>
      <c r="AG196" s="145" t="s">
        <v>145</v>
      </c>
      <c r="AH196" s="145"/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outlineLevel="2" x14ac:dyDescent="0.25">
      <c r="A197" s="152"/>
      <c r="B197" s="153"/>
      <c r="C197" s="574" t="s">
        <v>474</v>
      </c>
      <c r="D197" s="575"/>
      <c r="E197" s="575"/>
      <c r="F197" s="575"/>
      <c r="G197" s="575"/>
      <c r="H197" s="155"/>
      <c r="I197" s="155"/>
      <c r="J197" s="155"/>
      <c r="K197" s="155"/>
      <c r="L197" s="155"/>
      <c r="M197" s="155"/>
      <c r="N197" s="154"/>
      <c r="O197" s="251"/>
      <c r="P197" s="154"/>
      <c r="Q197" s="154"/>
      <c r="R197" s="155"/>
      <c r="S197" s="155"/>
      <c r="T197" s="155"/>
      <c r="U197" s="155"/>
      <c r="V197" s="155"/>
      <c r="W197" s="155"/>
      <c r="X197" s="155"/>
      <c r="Y197" s="155"/>
      <c r="Z197" s="145"/>
      <c r="AA197" s="145"/>
      <c r="AB197" s="145"/>
      <c r="AC197" s="145"/>
      <c r="AD197" s="145"/>
      <c r="AE197" s="145"/>
      <c r="AF197" s="145"/>
      <c r="AG197" s="145" t="s">
        <v>168</v>
      </c>
      <c r="AH197" s="145"/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  <c r="BA197" s="145"/>
      <c r="BB197" s="145"/>
      <c r="BC197" s="145"/>
      <c r="BD197" s="145"/>
      <c r="BE197" s="145"/>
      <c r="BF197" s="145"/>
      <c r="BG197" s="145"/>
      <c r="BH197" s="145"/>
    </row>
    <row r="198" spans="1:60" ht="20.399999999999999" outlineLevel="1" x14ac:dyDescent="0.25">
      <c r="A198" s="166">
        <v>91</v>
      </c>
      <c r="B198" s="167" t="s">
        <v>475</v>
      </c>
      <c r="C198" s="180" t="s">
        <v>476</v>
      </c>
      <c r="D198" s="168" t="s">
        <v>178</v>
      </c>
      <c r="E198" s="169">
        <v>35</v>
      </c>
      <c r="F198" s="170"/>
      <c r="G198" s="171">
        <f>ROUND(E198*F198,2)</f>
        <v>0</v>
      </c>
      <c r="H198" s="156">
        <v>299.83</v>
      </c>
      <c r="I198" s="155">
        <f>ROUND(E198*H198,2)</f>
        <v>10494.05</v>
      </c>
      <c r="J198" s="156">
        <v>137.16999999999999</v>
      </c>
      <c r="K198" s="155">
        <f>ROUND(E198*J198,2)</f>
        <v>4800.95</v>
      </c>
      <c r="L198" s="155">
        <v>21</v>
      </c>
      <c r="M198" s="155">
        <f>G198*(1+L198/100)</f>
        <v>0</v>
      </c>
      <c r="N198" s="154">
        <v>1.8400000000000001E-3</v>
      </c>
      <c r="O198" s="251">
        <f>ROUND(E198*N198,2)</f>
        <v>0.06</v>
      </c>
      <c r="P198" s="154">
        <v>0</v>
      </c>
      <c r="Q198" s="154">
        <f>ROUND(E198*P198,2)</f>
        <v>0</v>
      </c>
      <c r="R198" s="155"/>
      <c r="S198" s="155" t="s">
        <v>1198</v>
      </c>
      <c r="T198" s="155" t="s">
        <v>1198</v>
      </c>
      <c r="U198" s="155">
        <v>0.25</v>
      </c>
      <c r="V198" s="155">
        <f>ROUND(E198*U198,2)</f>
        <v>8.75</v>
      </c>
      <c r="W198" s="155"/>
      <c r="X198" s="155" t="s">
        <v>143</v>
      </c>
      <c r="Y198" s="155" t="s">
        <v>144</v>
      </c>
      <c r="Z198" s="145"/>
      <c r="AA198" s="145"/>
      <c r="AB198" s="145"/>
      <c r="AC198" s="145"/>
      <c r="AD198" s="145"/>
      <c r="AE198" s="145"/>
      <c r="AF198" s="145"/>
      <c r="AG198" s="145" t="s">
        <v>145</v>
      </c>
      <c r="AH198" s="145"/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ht="20.399999999999999" outlineLevel="1" x14ac:dyDescent="0.25">
      <c r="A199" s="166">
        <v>92</v>
      </c>
      <c r="B199" s="167" t="s">
        <v>477</v>
      </c>
      <c r="C199" s="180" t="s">
        <v>478</v>
      </c>
      <c r="D199" s="168" t="s">
        <v>178</v>
      </c>
      <c r="E199" s="169">
        <v>16</v>
      </c>
      <c r="F199" s="170"/>
      <c r="G199" s="171">
        <f>ROUND(E199*F199,2)</f>
        <v>0</v>
      </c>
      <c r="H199" s="156">
        <v>188.33</v>
      </c>
      <c r="I199" s="155">
        <f>ROUND(E199*H199,2)</f>
        <v>3013.28</v>
      </c>
      <c r="J199" s="156">
        <v>137.16999999999999</v>
      </c>
      <c r="K199" s="155">
        <f>ROUND(E199*J199,2)</f>
        <v>2194.7199999999998</v>
      </c>
      <c r="L199" s="155">
        <v>21</v>
      </c>
      <c r="M199" s="155">
        <f>G199*(1+L199/100)</f>
        <v>0</v>
      </c>
      <c r="N199" s="154">
        <v>1.2099999999999999E-3</v>
      </c>
      <c r="O199" s="251">
        <f>ROUND(E199*N199,2)</f>
        <v>0.02</v>
      </c>
      <c r="P199" s="154">
        <v>0</v>
      </c>
      <c r="Q199" s="154">
        <f>ROUND(E199*P199,2)</f>
        <v>0</v>
      </c>
      <c r="R199" s="155"/>
      <c r="S199" s="155" t="s">
        <v>1198</v>
      </c>
      <c r="T199" s="155" t="s">
        <v>1198</v>
      </c>
      <c r="U199" s="155">
        <v>0.25</v>
      </c>
      <c r="V199" s="155">
        <f>ROUND(E199*U199,2)</f>
        <v>4</v>
      </c>
      <c r="W199" s="155"/>
      <c r="X199" s="155" t="s">
        <v>143</v>
      </c>
      <c r="Y199" s="155" t="s">
        <v>144</v>
      </c>
      <c r="Z199" s="145"/>
      <c r="AA199" s="145"/>
      <c r="AB199" s="145"/>
      <c r="AC199" s="145"/>
      <c r="AD199" s="145"/>
      <c r="AE199" s="145"/>
      <c r="AF199" s="145"/>
      <c r="AG199" s="145" t="s">
        <v>145</v>
      </c>
      <c r="AH199" s="145"/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  <c r="BA199" s="145"/>
      <c r="BB199" s="145"/>
      <c r="BC199" s="145"/>
      <c r="BD199" s="145"/>
      <c r="BE199" s="145"/>
      <c r="BF199" s="145"/>
      <c r="BG199" s="145"/>
      <c r="BH199" s="145"/>
    </row>
    <row r="200" spans="1:60" outlineLevel="1" x14ac:dyDescent="0.25">
      <c r="A200" s="166">
        <v>93</v>
      </c>
      <c r="B200" s="167" t="s">
        <v>479</v>
      </c>
      <c r="C200" s="180" t="s">
        <v>480</v>
      </c>
      <c r="D200" s="168" t="s">
        <v>267</v>
      </c>
      <c r="E200" s="169">
        <v>0.11836000000000001</v>
      </c>
      <c r="F200" s="170"/>
      <c r="G200" s="171">
        <f>ROUND(E200*F200,2)</f>
        <v>0</v>
      </c>
      <c r="H200" s="156">
        <v>0</v>
      </c>
      <c r="I200" s="155">
        <f>ROUND(E200*H200,2)</f>
        <v>0</v>
      </c>
      <c r="J200" s="156">
        <v>2195</v>
      </c>
      <c r="K200" s="155">
        <f>ROUND(E200*J200,2)</f>
        <v>259.8</v>
      </c>
      <c r="L200" s="155">
        <v>21</v>
      </c>
      <c r="M200" s="155">
        <f>G200*(1+L200/100)</f>
        <v>0</v>
      </c>
      <c r="N200" s="154">
        <v>0</v>
      </c>
      <c r="O200" s="251">
        <f>ROUND(E200*N200,2)</f>
        <v>0</v>
      </c>
      <c r="P200" s="154">
        <v>0</v>
      </c>
      <c r="Q200" s="154">
        <f>ROUND(E200*P200,2)</f>
        <v>0</v>
      </c>
      <c r="R200" s="155"/>
      <c r="S200" s="155" t="s">
        <v>1198</v>
      </c>
      <c r="T200" s="155" t="s">
        <v>1198</v>
      </c>
      <c r="U200" s="155">
        <v>4.74</v>
      </c>
      <c r="V200" s="155">
        <f>ROUND(E200*U200,2)</f>
        <v>0.56000000000000005</v>
      </c>
      <c r="W200" s="155"/>
      <c r="X200" s="155" t="s">
        <v>143</v>
      </c>
      <c r="Y200" s="155" t="s">
        <v>144</v>
      </c>
      <c r="Z200" s="145"/>
      <c r="AA200" s="145"/>
      <c r="AB200" s="145"/>
      <c r="AC200" s="145"/>
      <c r="AD200" s="145"/>
      <c r="AE200" s="145"/>
      <c r="AF200" s="145"/>
      <c r="AG200" s="145" t="s">
        <v>145</v>
      </c>
      <c r="AH200" s="145"/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outlineLevel="2" x14ac:dyDescent="0.25">
      <c r="A201" s="152"/>
      <c r="B201" s="153"/>
      <c r="C201" s="186" t="s">
        <v>481</v>
      </c>
      <c r="D201" s="184"/>
      <c r="E201" s="185">
        <v>3.0799999999999998E-3</v>
      </c>
      <c r="F201" s="155"/>
      <c r="G201" s="155"/>
      <c r="H201" s="155"/>
      <c r="I201" s="155"/>
      <c r="J201" s="155"/>
      <c r="K201" s="155"/>
      <c r="L201" s="155"/>
      <c r="M201" s="155"/>
      <c r="N201" s="154"/>
      <c r="O201" s="251"/>
      <c r="P201" s="154"/>
      <c r="Q201" s="154"/>
      <c r="R201" s="155"/>
      <c r="S201" s="155"/>
      <c r="T201" s="155"/>
      <c r="U201" s="155"/>
      <c r="V201" s="155"/>
      <c r="W201" s="155"/>
      <c r="X201" s="155"/>
      <c r="Y201" s="155"/>
      <c r="Z201" s="145"/>
      <c r="AA201" s="145"/>
      <c r="AB201" s="145"/>
      <c r="AC201" s="145"/>
      <c r="AD201" s="145"/>
      <c r="AE201" s="145"/>
      <c r="AF201" s="145"/>
      <c r="AG201" s="145" t="s">
        <v>170</v>
      </c>
      <c r="AH201" s="145">
        <v>6</v>
      </c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outlineLevel="3" x14ac:dyDescent="0.25">
      <c r="A202" s="152"/>
      <c r="B202" s="153"/>
      <c r="C202" s="186" t="s">
        <v>482</v>
      </c>
      <c r="D202" s="184"/>
      <c r="E202" s="185">
        <v>3.1519999999999999E-2</v>
      </c>
      <c r="F202" s="155"/>
      <c r="G202" s="155"/>
      <c r="H202" s="155"/>
      <c r="I202" s="155"/>
      <c r="J202" s="155"/>
      <c r="K202" s="155"/>
      <c r="L202" s="155"/>
      <c r="M202" s="155"/>
      <c r="N202" s="154"/>
      <c r="O202" s="251"/>
      <c r="P202" s="154"/>
      <c r="Q202" s="154"/>
      <c r="R202" s="155"/>
      <c r="S202" s="155"/>
      <c r="T202" s="155"/>
      <c r="U202" s="155"/>
      <c r="V202" s="155"/>
      <c r="W202" s="155"/>
      <c r="X202" s="155"/>
      <c r="Y202" s="155"/>
      <c r="Z202" s="145"/>
      <c r="AA202" s="145"/>
      <c r="AB202" s="145"/>
      <c r="AC202" s="145"/>
      <c r="AD202" s="145"/>
      <c r="AE202" s="145"/>
      <c r="AF202" s="145"/>
      <c r="AG202" s="145" t="s">
        <v>170</v>
      </c>
      <c r="AH202" s="145">
        <v>6</v>
      </c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3" x14ac:dyDescent="0.25">
      <c r="A203" s="152"/>
      <c r="B203" s="153"/>
      <c r="C203" s="186" t="s">
        <v>483</v>
      </c>
      <c r="D203" s="184"/>
      <c r="E203" s="185">
        <v>6.4399999999999999E-2</v>
      </c>
      <c r="F203" s="155"/>
      <c r="G203" s="155"/>
      <c r="H203" s="155"/>
      <c r="I203" s="155"/>
      <c r="J203" s="155"/>
      <c r="K203" s="155"/>
      <c r="L203" s="155"/>
      <c r="M203" s="155"/>
      <c r="N203" s="154"/>
      <c r="O203" s="251"/>
      <c r="P203" s="154"/>
      <c r="Q203" s="154"/>
      <c r="R203" s="155"/>
      <c r="S203" s="155"/>
      <c r="T203" s="155"/>
      <c r="U203" s="155"/>
      <c r="V203" s="155"/>
      <c r="W203" s="155"/>
      <c r="X203" s="155"/>
      <c r="Y203" s="155"/>
      <c r="Z203" s="145"/>
      <c r="AA203" s="145"/>
      <c r="AB203" s="145"/>
      <c r="AC203" s="145"/>
      <c r="AD203" s="145"/>
      <c r="AE203" s="145"/>
      <c r="AF203" s="145"/>
      <c r="AG203" s="145" t="s">
        <v>170</v>
      </c>
      <c r="AH203" s="145">
        <v>6</v>
      </c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3" x14ac:dyDescent="0.25">
      <c r="A204" s="152"/>
      <c r="B204" s="153"/>
      <c r="C204" s="186" t="s">
        <v>484</v>
      </c>
      <c r="D204" s="184"/>
      <c r="E204" s="185">
        <v>1.9359999999999999E-2</v>
      </c>
      <c r="F204" s="155"/>
      <c r="G204" s="155"/>
      <c r="H204" s="155"/>
      <c r="I204" s="155"/>
      <c r="J204" s="155"/>
      <c r="K204" s="155"/>
      <c r="L204" s="155"/>
      <c r="M204" s="155"/>
      <c r="N204" s="154"/>
      <c r="O204" s="251"/>
      <c r="P204" s="154"/>
      <c r="Q204" s="154"/>
      <c r="R204" s="155"/>
      <c r="S204" s="155"/>
      <c r="T204" s="155"/>
      <c r="U204" s="155"/>
      <c r="V204" s="155"/>
      <c r="W204" s="155"/>
      <c r="X204" s="155"/>
      <c r="Y204" s="155"/>
      <c r="Z204" s="145"/>
      <c r="AA204" s="145"/>
      <c r="AB204" s="145"/>
      <c r="AC204" s="145"/>
      <c r="AD204" s="145"/>
      <c r="AE204" s="145"/>
      <c r="AF204" s="145"/>
      <c r="AG204" s="145" t="s">
        <v>170</v>
      </c>
      <c r="AH204" s="145">
        <v>6</v>
      </c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x14ac:dyDescent="0.25">
      <c r="A205" s="159" t="s">
        <v>136</v>
      </c>
      <c r="B205" s="160" t="s">
        <v>94</v>
      </c>
      <c r="C205" s="178" t="s">
        <v>95</v>
      </c>
      <c r="D205" s="161"/>
      <c r="E205" s="162"/>
      <c r="F205" s="163"/>
      <c r="G205" s="164">
        <f>SUMIF(AG206:AG222,"&lt;&gt;NOR",G206:G222)</f>
        <v>0</v>
      </c>
      <c r="H205" s="158"/>
      <c r="I205" s="158">
        <f>SUM(I206:I222)</f>
        <v>9873.0799999999981</v>
      </c>
      <c r="J205" s="158"/>
      <c r="K205" s="158">
        <f>SUM(K206:K222)</f>
        <v>64476.9</v>
      </c>
      <c r="L205" s="158"/>
      <c r="M205" s="158">
        <f>SUM(M206:M222)</f>
        <v>0</v>
      </c>
      <c r="N205" s="157"/>
      <c r="O205" s="252">
        <f>SUM(O206:O222)</f>
        <v>0.18</v>
      </c>
      <c r="P205" s="157"/>
      <c r="Q205" s="157">
        <f>SUM(Q206:Q222)</f>
        <v>0</v>
      </c>
      <c r="R205" s="158"/>
      <c r="S205" s="158"/>
      <c r="T205" s="158"/>
      <c r="U205" s="158"/>
      <c r="V205" s="158">
        <f>SUM(V206:V222)</f>
        <v>13.91</v>
      </c>
      <c r="W205" s="158"/>
      <c r="X205" s="158"/>
      <c r="Y205" s="158"/>
      <c r="AG205" t="s">
        <v>137</v>
      </c>
    </row>
    <row r="206" spans="1:60" outlineLevel="1" x14ac:dyDescent="0.25">
      <c r="A206" s="166">
        <v>94</v>
      </c>
      <c r="B206" s="167" t="s">
        <v>485</v>
      </c>
      <c r="C206" s="180" t="s">
        <v>486</v>
      </c>
      <c r="D206" s="168" t="s">
        <v>165</v>
      </c>
      <c r="E206" s="169">
        <v>8.14</v>
      </c>
      <c r="F206" s="170"/>
      <c r="G206" s="171">
        <f>ROUND(E206*F206,2)</f>
        <v>0</v>
      </c>
      <c r="H206" s="156">
        <v>8.93</v>
      </c>
      <c r="I206" s="155">
        <f>ROUND(E206*H206,2)</f>
        <v>72.69</v>
      </c>
      <c r="J206" s="156">
        <v>485.57</v>
      </c>
      <c r="K206" s="155">
        <f>ROUND(E206*J206,2)</f>
        <v>3952.54</v>
      </c>
      <c r="L206" s="155">
        <v>21</v>
      </c>
      <c r="M206" s="155">
        <f>G206*(1+L206/100)</f>
        <v>0</v>
      </c>
      <c r="N206" s="154">
        <v>2.0000000000000001E-4</v>
      </c>
      <c r="O206" s="251">
        <f>ROUND(E206*N206,2)</f>
        <v>0</v>
      </c>
      <c r="P206" s="154">
        <v>0</v>
      </c>
      <c r="Q206" s="154">
        <f>ROUND(E206*P206,2)</f>
        <v>0</v>
      </c>
      <c r="R206" s="155"/>
      <c r="S206" s="155" t="s">
        <v>1198</v>
      </c>
      <c r="T206" s="155" t="s">
        <v>1198</v>
      </c>
      <c r="U206" s="155">
        <v>0.89</v>
      </c>
      <c r="V206" s="155">
        <f>ROUND(E206*U206,2)</f>
        <v>7.24</v>
      </c>
      <c r="W206" s="155"/>
      <c r="X206" s="155" t="s">
        <v>143</v>
      </c>
      <c r="Y206" s="155" t="s">
        <v>144</v>
      </c>
      <c r="Z206" s="145"/>
      <c r="AA206" s="145"/>
      <c r="AB206" s="145"/>
      <c r="AC206" s="145"/>
      <c r="AD206" s="145"/>
      <c r="AE206" s="145"/>
      <c r="AF206" s="145"/>
      <c r="AG206" s="145" t="s">
        <v>145</v>
      </c>
      <c r="AH206" s="145"/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  <c r="BA206" s="145"/>
      <c r="BB206" s="145"/>
      <c r="BC206" s="145"/>
      <c r="BD206" s="145"/>
      <c r="BE206" s="145"/>
      <c r="BF206" s="145"/>
      <c r="BG206" s="145"/>
      <c r="BH206" s="145"/>
    </row>
    <row r="207" spans="1:60" outlineLevel="1" x14ac:dyDescent="0.25">
      <c r="A207" s="166">
        <v>95</v>
      </c>
      <c r="B207" s="167" t="s">
        <v>487</v>
      </c>
      <c r="C207" s="180" t="s">
        <v>488</v>
      </c>
      <c r="D207" s="168" t="s">
        <v>165</v>
      </c>
      <c r="E207" s="169">
        <v>8.9540000000000006</v>
      </c>
      <c r="F207" s="170"/>
      <c r="G207" s="171">
        <f>ROUND(E207*F207,2)</f>
        <v>0</v>
      </c>
      <c r="H207" s="156">
        <v>429</v>
      </c>
      <c r="I207" s="155">
        <f>ROUND(E207*H207,2)</f>
        <v>3841.27</v>
      </c>
      <c r="J207" s="156">
        <v>0</v>
      </c>
      <c r="K207" s="155">
        <f>ROUND(E207*J207,2)</f>
        <v>0</v>
      </c>
      <c r="L207" s="155">
        <v>21</v>
      </c>
      <c r="M207" s="155">
        <f>G207*(1+L207/100)</f>
        <v>0</v>
      </c>
      <c r="N207" s="154">
        <v>1.2200000000000001E-2</v>
      </c>
      <c r="O207" s="251">
        <f>ROUND(E207*N207,2)</f>
        <v>0.11</v>
      </c>
      <c r="P207" s="154">
        <v>0</v>
      </c>
      <c r="Q207" s="154">
        <f>ROUND(E207*P207,2)</f>
        <v>0</v>
      </c>
      <c r="R207" s="155"/>
      <c r="S207" s="155" t="s">
        <v>141</v>
      </c>
      <c r="T207" s="155" t="s">
        <v>142</v>
      </c>
      <c r="U207" s="155">
        <v>0</v>
      </c>
      <c r="V207" s="155">
        <f>ROUND(E207*U207,2)</f>
        <v>0</v>
      </c>
      <c r="W207" s="155"/>
      <c r="X207" s="155" t="s">
        <v>174</v>
      </c>
      <c r="Y207" s="155" t="s">
        <v>144</v>
      </c>
      <c r="Z207" s="145"/>
      <c r="AA207" s="145"/>
      <c r="AB207" s="145"/>
      <c r="AC207" s="145"/>
      <c r="AD207" s="145"/>
      <c r="AE207" s="145"/>
      <c r="AF207" s="145"/>
      <c r="AG207" s="145" t="s">
        <v>175</v>
      </c>
      <c r="AH207" s="145"/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2" x14ac:dyDescent="0.25">
      <c r="A208" s="152"/>
      <c r="B208" s="153"/>
      <c r="C208" s="186" t="s">
        <v>489</v>
      </c>
      <c r="D208" s="184"/>
      <c r="E208" s="185">
        <v>8.9540000000000006</v>
      </c>
      <c r="F208" s="155"/>
      <c r="G208" s="155"/>
      <c r="H208" s="155"/>
      <c r="I208" s="155"/>
      <c r="J208" s="155"/>
      <c r="K208" s="155"/>
      <c r="L208" s="155"/>
      <c r="M208" s="155"/>
      <c r="N208" s="154"/>
      <c r="O208" s="251"/>
      <c r="P208" s="154"/>
      <c r="Q208" s="154"/>
      <c r="R208" s="155"/>
      <c r="S208" s="155"/>
      <c r="T208" s="155"/>
      <c r="U208" s="155"/>
      <c r="V208" s="155"/>
      <c r="W208" s="155"/>
      <c r="X208" s="155"/>
      <c r="Y208" s="155"/>
      <c r="Z208" s="145"/>
      <c r="AA208" s="145"/>
      <c r="AB208" s="145"/>
      <c r="AC208" s="145"/>
      <c r="AD208" s="145"/>
      <c r="AE208" s="145"/>
      <c r="AF208" s="145"/>
      <c r="AG208" s="145" t="s">
        <v>170</v>
      </c>
      <c r="AH208" s="145">
        <v>5</v>
      </c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outlineLevel="1" x14ac:dyDescent="0.25">
      <c r="A209" s="166">
        <v>96</v>
      </c>
      <c r="B209" s="167" t="s">
        <v>490</v>
      </c>
      <c r="C209" s="180" t="s">
        <v>491</v>
      </c>
      <c r="D209" s="168" t="s">
        <v>165</v>
      </c>
      <c r="E209" s="169">
        <v>4.6929999999999996</v>
      </c>
      <c r="F209" s="170"/>
      <c r="G209" s="171">
        <f>ROUND(E209*F209,2)</f>
        <v>0</v>
      </c>
      <c r="H209" s="156">
        <v>7.66</v>
      </c>
      <c r="I209" s="155">
        <f>ROUND(E209*H209,2)</f>
        <v>35.950000000000003</v>
      </c>
      <c r="J209" s="156">
        <v>289.33999999999997</v>
      </c>
      <c r="K209" s="155">
        <f>ROUND(E209*J209,2)</f>
        <v>1357.87</v>
      </c>
      <c r="L209" s="155">
        <v>21</v>
      </c>
      <c r="M209" s="155">
        <f>G209*(1+L209/100)</f>
        <v>0</v>
      </c>
      <c r="N209" s="154">
        <v>1.8000000000000001E-4</v>
      </c>
      <c r="O209" s="251">
        <f>ROUND(E209*N209,2)</f>
        <v>0</v>
      </c>
      <c r="P209" s="154">
        <v>0</v>
      </c>
      <c r="Q209" s="154">
        <f>ROUND(E209*P209,2)</f>
        <v>0</v>
      </c>
      <c r="R209" s="155"/>
      <c r="S209" s="155" t="s">
        <v>1198</v>
      </c>
      <c r="T209" s="155" t="s">
        <v>1198</v>
      </c>
      <c r="U209" s="155">
        <v>0.53</v>
      </c>
      <c r="V209" s="155">
        <f>ROUND(E209*U209,2)</f>
        <v>2.4900000000000002</v>
      </c>
      <c r="W209" s="155"/>
      <c r="X209" s="155" t="s">
        <v>143</v>
      </c>
      <c r="Y209" s="155" t="s">
        <v>144</v>
      </c>
      <c r="Z209" s="145"/>
      <c r="AA209" s="145"/>
      <c r="AB209" s="145"/>
      <c r="AC209" s="145"/>
      <c r="AD209" s="145"/>
      <c r="AE209" s="145"/>
      <c r="AF209" s="145"/>
      <c r="AG209" s="145" t="s">
        <v>145</v>
      </c>
      <c r="AH209" s="145"/>
      <c r="AI209" s="145"/>
      <c r="AJ209" s="145"/>
      <c r="AK209" s="145"/>
      <c r="AL209" s="145"/>
      <c r="AM209" s="145"/>
      <c r="AN209" s="145"/>
      <c r="AO209" s="145"/>
      <c r="AP209" s="145"/>
      <c r="AQ209" s="145"/>
      <c r="AR209" s="145"/>
      <c r="AS209" s="145"/>
      <c r="AT209" s="145"/>
      <c r="AU209" s="145"/>
      <c r="AV209" s="145"/>
      <c r="AW209" s="145"/>
      <c r="AX209" s="145"/>
      <c r="AY209" s="145"/>
      <c r="AZ209" s="145"/>
      <c r="BA209" s="145"/>
      <c r="BB209" s="145"/>
      <c r="BC209" s="145"/>
      <c r="BD209" s="145"/>
      <c r="BE209" s="145"/>
      <c r="BF209" s="145"/>
      <c r="BG209" s="145"/>
      <c r="BH209" s="145"/>
    </row>
    <row r="210" spans="1:60" outlineLevel="1" x14ac:dyDescent="0.25">
      <c r="A210" s="166">
        <v>97</v>
      </c>
      <c r="B210" s="167" t="s">
        <v>492</v>
      </c>
      <c r="C210" s="180" t="s">
        <v>493</v>
      </c>
      <c r="D210" s="168" t="s">
        <v>165</v>
      </c>
      <c r="E210" s="169">
        <v>5.1623000000000001</v>
      </c>
      <c r="F210" s="170"/>
      <c r="G210" s="171">
        <f>ROUND(E210*F210,2)</f>
        <v>0</v>
      </c>
      <c r="H210" s="156">
        <v>1100</v>
      </c>
      <c r="I210" s="155">
        <f>ROUND(E210*H210,2)</f>
        <v>5678.53</v>
      </c>
      <c r="J210" s="156">
        <v>0</v>
      </c>
      <c r="K210" s="155">
        <f>ROUND(E210*J210,2)</f>
        <v>0</v>
      </c>
      <c r="L210" s="155">
        <v>21</v>
      </c>
      <c r="M210" s="155">
        <f>G210*(1+L210/100)</f>
        <v>0</v>
      </c>
      <c r="N210" s="154">
        <v>1.26E-2</v>
      </c>
      <c r="O210" s="251">
        <f>ROUND(E210*N210,2)</f>
        <v>7.0000000000000007E-2</v>
      </c>
      <c r="P210" s="154">
        <v>0</v>
      </c>
      <c r="Q210" s="154">
        <f>ROUND(E210*P210,2)</f>
        <v>0</v>
      </c>
      <c r="R210" s="155" t="s">
        <v>173</v>
      </c>
      <c r="S210" s="155" t="s">
        <v>1198</v>
      </c>
      <c r="T210" s="155" t="s">
        <v>1198</v>
      </c>
      <c r="U210" s="155">
        <v>0</v>
      </c>
      <c r="V210" s="155">
        <f>ROUND(E210*U210,2)</f>
        <v>0</v>
      </c>
      <c r="W210" s="155"/>
      <c r="X210" s="155" t="s">
        <v>174</v>
      </c>
      <c r="Y210" s="155" t="s">
        <v>144</v>
      </c>
      <c r="Z210" s="145"/>
      <c r="AA210" s="145"/>
      <c r="AB210" s="145"/>
      <c r="AC210" s="145"/>
      <c r="AD210" s="145"/>
      <c r="AE210" s="145"/>
      <c r="AF210" s="145"/>
      <c r="AG210" s="145" t="s">
        <v>175</v>
      </c>
      <c r="AH210" s="145"/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outlineLevel="2" x14ac:dyDescent="0.25">
      <c r="A211" s="152"/>
      <c r="B211" s="153"/>
      <c r="C211" s="186" t="s">
        <v>494</v>
      </c>
      <c r="D211" s="184"/>
      <c r="E211" s="185">
        <v>5.1623000000000001</v>
      </c>
      <c r="F211" s="155"/>
      <c r="G211" s="155"/>
      <c r="H211" s="155"/>
      <c r="I211" s="155"/>
      <c r="J211" s="155"/>
      <c r="K211" s="155"/>
      <c r="L211" s="155"/>
      <c r="M211" s="155"/>
      <c r="N211" s="154"/>
      <c r="O211" s="251"/>
      <c r="P211" s="154"/>
      <c r="Q211" s="154"/>
      <c r="R211" s="155"/>
      <c r="S211" s="155"/>
      <c r="T211" s="155"/>
      <c r="U211" s="155"/>
      <c r="V211" s="155"/>
      <c r="W211" s="155"/>
      <c r="X211" s="155"/>
      <c r="Y211" s="155"/>
      <c r="Z211" s="145"/>
      <c r="AA211" s="145"/>
      <c r="AB211" s="145"/>
      <c r="AC211" s="145"/>
      <c r="AD211" s="145"/>
      <c r="AE211" s="145"/>
      <c r="AF211" s="145"/>
      <c r="AG211" s="145" t="s">
        <v>170</v>
      </c>
      <c r="AH211" s="145">
        <v>5</v>
      </c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ht="20.399999999999999" outlineLevel="1" x14ac:dyDescent="0.25">
      <c r="A212" s="166">
        <v>98</v>
      </c>
      <c r="B212" s="167" t="s">
        <v>495</v>
      </c>
      <c r="C212" s="180" t="s">
        <v>496</v>
      </c>
      <c r="D212" s="168" t="s">
        <v>178</v>
      </c>
      <c r="E212" s="169">
        <v>22.2</v>
      </c>
      <c r="F212" s="170"/>
      <c r="G212" s="171">
        <f>ROUND(E212*F212,2)</f>
        <v>0</v>
      </c>
      <c r="H212" s="156">
        <v>11.02</v>
      </c>
      <c r="I212" s="155">
        <f>ROUND(E212*H212,2)</f>
        <v>244.64</v>
      </c>
      <c r="J212" s="156">
        <v>89.48</v>
      </c>
      <c r="K212" s="155">
        <f>ROUND(E212*J212,2)</f>
        <v>1986.46</v>
      </c>
      <c r="L212" s="155">
        <v>21</v>
      </c>
      <c r="M212" s="155">
        <f>G212*(1+L212/100)</f>
        <v>0</v>
      </c>
      <c r="N212" s="154">
        <v>1.8000000000000001E-4</v>
      </c>
      <c r="O212" s="251">
        <f>ROUND(E212*N212,2)</f>
        <v>0</v>
      </c>
      <c r="P212" s="154">
        <v>0</v>
      </c>
      <c r="Q212" s="154">
        <f>ROUND(E212*P212,2)</f>
        <v>0</v>
      </c>
      <c r="R212" s="155"/>
      <c r="S212" s="155" t="s">
        <v>1198</v>
      </c>
      <c r="T212" s="155" t="s">
        <v>1198</v>
      </c>
      <c r="U212" s="155">
        <v>0.17</v>
      </c>
      <c r="V212" s="155">
        <f>ROUND(E212*U212,2)</f>
        <v>3.77</v>
      </c>
      <c r="W212" s="155"/>
      <c r="X212" s="155" t="s">
        <v>143</v>
      </c>
      <c r="Y212" s="155" t="s">
        <v>144</v>
      </c>
      <c r="Z212" s="145"/>
      <c r="AA212" s="145"/>
      <c r="AB212" s="145"/>
      <c r="AC212" s="145"/>
      <c r="AD212" s="145"/>
      <c r="AE212" s="145"/>
      <c r="AF212" s="145"/>
      <c r="AG212" s="145" t="s">
        <v>145</v>
      </c>
      <c r="AH212" s="145"/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outlineLevel="2" x14ac:dyDescent="0.25">
      <c r="A213" s="152"/>
      <c r="B213" s="153"/>
      <c r="C213" s="186" t="s">
        <v>497</v>
      </c>
      <c r="D213" s="184"/>
      <c r="E213" s="185">
        <v>22.2</v>
      </c>
      <c r="F213" s="155"/>
      <c r="G213" s="155"/>
      <c r="H213" s="155"/>
      <c r="I213" s="155"/>
      <c r="J213" s="155"/>
      <c r="K213" s="155"/>
      <c r="L213" s="155"/>
      <c r="M213" s="155"/>
      <c r="N213" s="154"/>
      <c r="O213" s="251"/>
      <c r="P213" s="154"/>
      <c r="Q213" s="154"/>
      <c r="R213" s="155"/>
      <c r="S213" s="155"/>
      <c r="T213" s="155"/>
      <c r="U213" s="155"/>
      <c r="V213" s="155"/>
      <c r="W213" s="155"/>
      <c r="X213" s="155"/>
      <c r="Y213" s="155"/>
      <c r="Z213" s="145"/>
      <c r="AA213" s="145"/>
      <c r="AB213" s="145"/>
      <c r="AC213" s="145"/>
      <c r="AD213" s="145"/>
      <c r="AE213" s="145"/>
      <c r="AF213" s="145"/>
      <c r="AG213" s="145" t="s">
        <v>170</v>
      </c>
      <c r="AH213" s="145">
        <v>0</v>
      </c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ht="30.6" outlineLevel="1" x14ac:dyDescent="0.25">
      <c r="A214" s="172">
        <v>99</v>
      </c>
      <c r="B214" s="173" t="s">
        <v>94</v>
      </c>
      <c r="C214" s="179" t="s">
        <v>1212</v>
      </c>
      <c r="D214" s="174" t="s">
        <v>158</v>
      </c>
      <c r="E214" s="175">
        <v>4</v>
      </c>
      <c r="F214" s="176"/>
      <c r="G214" s="177">
        <f>ROUND(E214*F214,2)</f>
        <v>0</v>
      </c>
      <c r="H214" s="156">
        <v>0</v>
      </c>
      <c r="I214" s="155">
        <f>ROUND(E214*H214,2)</f>
        <v>0</v>
      </c>
      <c r="J214" s="156">
        <v>10000</v>
      </c>
      <c r="K214" s="155">
        <f>ROUND(E214*J214,2)</f>
        <v>40000</v>
      </c>
      <c r="L214" s="155">
        <v>21</v>
      </c>
      <c r="M214" s="155">
        <f>G214*(1+L214/100)</f>
        <v>0</v>
      </c>
      <c r="N214" s="154">
        <v>0</v>
      </c>
      <c r="O214" s="251">
        <f>ROUND(E214*N214,2)</f>
        <v>0</v>
      </c>
      <c r="P214" s="154">
        <v>0</v>
      </c>
      <c r="Q214" s="154">
        <f>ROUND(E214*P214,2)</f>
        <v>0</v>
      </c>
      <c r="R214" s="155"/>
      <c r="S214" s="155" t="s">
        <v>141</v>
      </c>
      <c r="T214" s="155" t="s">
        <v>142</v>
      </c>
      <c r="U214" s="155">
        <v>0</v>
      </c>
      <c r="V214" s="155">
        <f>ROUND(E214*U214,2)</f>
        <v>0</v>
      </c>
      <c r="W214" s="155"/>
      <c r="X214" s="155" t="s">
        <v>143</v>
      </c>
      <c r="Y214" s="155" t="s">
        <v>144</v>
      </c>
      <c r="Z214" s="145"/>
      <c r="AA214" s="145"/>
      <c r="AB214" s="145"/>
      <c r="AC214" s="145"/>
      <c r="AD214" s="145"/>
      <c r="AE214" s="145"/>
      <c r="AF214" s="145"/>
      <c r="AG214" s="145" t="s">
        <v>145</v>
      </c>
      <c r="AH214" s="145"/>
      <c r="AI214" s="145"/>
      <c r="AJ214" s="145"/>
      <c r="AK214" s="145"/>
      <c r="AL214" s="145"/>
      <c r="AM214" s="145"/>
      <c r="AN214" s="145"/>
      <c r="AO214" s="145"/>
      <c r="AP214" s="145"/>
      <c r="AQ214" s="145"/>
      <c r="AR214" s="145"/>
      <c r="AS214" s="145"/>
      <c r="AT214" s="145"/>
      <c r="AU214" s="145"/>
      <c r="AV214" s="145"/>
      <c r="AW214" s="145"/>
      <c r="AX214" s="145"/>
      <c r="AY214" s="145"/>
      <c r="AZ214" s="145"/>
      <c r="BA214" s="145"/>
      <c r="BB214" s="145"/>
      <c r="BC214" s="145"/>
      <c r="BD214" s="145"/>
      <c r="BE214" s="145"/>
      <c r="BF214" s="145"/>
      <c r="BG214" s="145"/>
      <c r="BH214" s="145"/>
    </row>
    <row r="215" spans="1:60" ht="30.6" outlineLevel="1" x14ac:dyDescent="0.25">
      <c r="A215" s="256"/>
      <c r="B215" s="257" t="s">
        <v>1213</v>
      </c>
      <c r="C215" s="179" t="s">
        <v>1214</v>
      </c>
      <c r="D215" s="258" t="s">
        <v>158</v>
      </c>
      <c r="E215" s="259">
        <v>2</v>
      </c>
      <c r="F215" s="260"/>
      <c r="G215" s="177">
        <f>ROUND(E215*F215,2)</f>
        <v>0</v>
      </c>
      <c r="H215" s="156"/>
      <c r="I215" s="155"/>
      <c r="J215" s="156"/>
      <c r="K215" s="155"/>
      <c r="L215" s="155"/>
      <c r="M215" s="155"/>
      <c r="N215" s="154"/>
      <c r="O215" s="251"/>
      <c r="P215" s="154"/>
      <c r="Q215" s="154"/>
      <c r="R215" s="155"/>
      <c r="S215" s="155"/>
      <c r="T215" s="155"/>
      <c r="U215" s="155"/>
      <c r="V215" s="155"/>
      <c r="W215" s="155"/>
      <c r="X215" s="155"/>
      <c r="Y215" s="155"/>
      <c r="Z215" s="145"/>
      <c r="AA215" s="145"/>
      <c r="AB215" s="145"/>
      <c r="AC215" s="145"/>
      <c r="AD215" s="145"/>
      <c r="AE215" s="145"/>
      <c r="AF215" s="145"/>
      <c r="AG215" s="145"/>
      <c r="AH215" s="145"/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  <c r="BA215" s="145"/>
      <c r="BB215" s="145"/>
      <c r="BC215" s="145"/>
      <c r="BD215" s="145"/>
      <c r="BE215" s="145"/>
      <c r="BF215" s="145"/>
      <c r="BG215" s="145"/>
      <c r="BH215" s="145"/>
    </row>
    <row r="216" spans="1:60" outlineLevel="1" x14ac:dyDescent="0.25">
      <c r="A216" s="172">
        <v>100</v>
      </c>
      <c r="B216" s="173" t="s">
        <v>498</v>
      </c>
      <c r="C216" s="179" t="s">
        <v>1215</v>
      </c>
      <c r="D216" s="174" t="s">
        <v>158</v>
      </c>
      <c r="E216" s="175">
        <v>2</v>
      </c>
      <c r="F216" s="176"/>
      <c r="G216" s="177">
        <f>ROUND(E216*F216,2)</f>
        <v>0</v>
      </c>
      <c r="H216" s="156">
        <v>0</v>
      </c>
      <c r="I216" s="155">
        <f>ROUND(E216*H216,2)</f>
        <v>0</v>
      </c>
      <c r="J216" s="156">
        <v>8500</v>
      </c>
      <c r="K216" s="155">
        <f>ROUND(E216*J216,2)</f>
        <v>17000</v>
      </c>
      <c r="L216" s="155">
        <v>21</v>
      </c>
      <c r="M216" s="155">
        <f>G216*(1+L216/100)</f>
        <v>0</v>
      </c>
      <c r="N216" s="154">
        <v>0</v>
      </c>
      <c r="O216" s="251">
        <f>ROUND(E216*N216,2)</f>
        <v>0</v>
      </c>
      <c r="P216" s="154">
        <v>0</v>
      </c>
      <c r="Q216" s="154">
        <f>ROUND(E216*P216,2)</f>
        <v>0</v>
      </c>
      <c r="R216" s="155"/>
      <c r="S216" s="155" t="s">
        <v>141</v>
      </c>
      <c r="T216" s="155" t="s">
        <v>142</v>
      </c>
      <c r="U216" s="155">
        <v>0</v>
      </c>
      <c r="V216" s="155">
        <f>ROUND(E216*U216,2)</f>
        <v>0</v>
      </c>
      <c r="W216" s="155"/>
      <c r="X216" s="155" t="s">
        <v>143</v>
      </c>
      <c r="Y216" s="155" t="s">
        <v>144</v>
      </c>
      <c r="Z216" s="145"/>
      <c r="AA216" s="145"/>
      <c r="AB216" s="145"/>
      <c r="AC216" s="145"/>
      <c r="AD216" s="145"/>
      <c r="AE216" s="145"/>
      <c r="AF216" s="145"/>
      <c r="AG216" s="145" t="s">
        <v>145</v>
      </c>
      <c r="AH216" s="145"/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  <c r="BA216" s="145"/>
      <c r="BB216" s="145"/>
      <c r="BC216" s="145"/>
      <c r="BD216" s="145"/>
      <c r="BE216" s="145"/>
      <c r="BF216" s="145"/>
      <c r="BG216" s="145"/>
      <c r="BH216" s="145"/>
    </row>
    <row r="217" spans="1:60" outlineLevel="1" x14ac:dyDescent="0.25">
      <c r="A217" s="166">
        <v>101</v>
      </c>
      <c r="B217" s="167" t="s">
        <v>499</v>
      </c>
      <c r="C217" s="180" t="s">
        <v>500</v>
      </c>
      <c r="D217" s="168" t="s">
        <v>267</v>
      </c>
      <c r="E217" s="169">
        <v>0.18074999999999999</v>
      </c>
      <c r="F217" s="170"/>
      <c r="G217" s="171">
        <f>ROUND(E217*F217,2)</f>
        <v>0</v>
      </c>
      <c r="H217" s="156">
        <v>0</v>
      </c>
      <c r="I217" s="155">
        <f>ROUND(E217*H217,2)</f>
        <v>0</v>
      </c>
      <c r="J217" s="156">
        <v>996</v>
      </c>
      <c r="K217" s="155">
        <f>ROUND(E217*J217,2)</f>
        <v>180.03</v>
      </c>
      <c r="L217" s="155">
        <v>21</v>
      </c>
      <c r="M217" s="155">
        <f>G217*(1+L217/100)</f>
        <v>0</v>
      </c>
      <c r="N217" s="154">
        <v>0</v>
      </c>
      <c r="O217" s="251">
        <f>ROUND(E217*N217,2)</f>
        <v>0</v>
      </c>
      <c r="P217" s="154">
        <v>0</v>
      </c>
      <c r="Q217" s="154">
        <f>ROUND(E217*P217,2)</f>
        <v>0</v>
      </c>
      <c r="R217" s="155"/>
      <c r="S217" s="155" t="s">
        <v>1198</v>
      </c>
      <c r="T217" s="155" t="s">
        <v>1198</v>
      </c>
      <c r="U217" s="155">
        <v>2.2599999999999998</v>
      </c>
      <c r="V217" s="155">
        <f>ROUND(E217*U217,2)</f>
        <v>0.41</v>
      </c>
      <c r="W217" s="155"/>
      <c r="X217" s="155" t="s">
        <v>143</v>
      </c>
      <c r="Y217" s="155" t="s">
        <v>144</v>
      </c>
      <c r="Z217" s="145"/>
      <c r="AA217" s="145"/>
      <c r="AB217" s="145"/>
      <c r="AC217" s="145"/>
      <c r="AD217" s="145"/>
      <c r="AE217" s="145"/>
      <c r="AF217" s="145"/>
      <c r="AG217" s="145" t="s">
        <v>145</v>
      </c>
      <c r="AH217" s="145"/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  <c r="BA217" s="145"/>
      <c r="BB217" s="145"/>
      <c r="BC217" s="145"/>
      <c r="BD217" s="145"/>
      <c r="BE217" s="145"/>
      <c r="BF217" s="145"/>
      <c r="BG217" s="145"/>
      <c r="BH217" s="145"/>
    </row>
    <row r="218" spans="1:60" outlineLevel="2" x14ac:dyDescent="0.25">
      <c r="A218" s="152"/>
      <c r="B218" s="153"/>
      <c r="C218" s="186" t="s">
        <v>501</v>
      </c>
      <c r="D218" s="184"/>
      <c r="E218" s="185">
        <v>1.6299999999999999E-3</v>
      </c>
      <c r="F218" s="155"/>
      <c r="G218" s="155"/>
      <c r="H218" s="155"/>
      <c r="I218" s="155"/>
      <c r="J218" s="155"/>
      <c r="K218" s="155"/>
      <c r="L218" s="155"/>
      <c r="M218" s="155"/>
      <c r="N218" s="154"/>
      <c r="O218" s="251"/>
      <c r="P218" s="154"/>
      <c r="Q218" s="154"/>
      <c r="R218" s="155"/>
      <c r="S218" s="155"/>
      <c r="T218" s="155"/>
      <c r="U218" s="155"/>
      <c r="V218" s="155"/>
      <c r="W218" s="155"/>
      <c r="X218" s="155"/>
      <c r="Y218" s="155"/>
      <c r="Z218" s="145"/>
      <c r="AA218" s="145"/>
      <c r="AB218" s="145"/>
      <c r="AC218" s="145"/>
      <c r="AD218" s="145"/>
      <c r="AE218" s="145"/>
      <c r="AF218" s="145"/>
      <c r="AG218" s="145" t="s">
        <v>170</v>
      </c>
      <c r="AH218" s="145">
        <v>6</v>
      </c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  <c r="BA218" s="145"/>
      <c r="BB218" s="145"/>
      <c r="BC218" s="145"/>
      <c r="BD218" s="145"/>
      <c r="BE218" s="145"/>
      <c r="BF218" s="145"/>
      <c r="BG218" s="145"/>
      <c r="BH218" s="145"/>
    </row>
    <row r="219" spans="1:60" outlineLevel="3" x14ac:dyDescent="0.25">
      <c r="A219" s="152"/>
      <c r="B219" s="153"/>
      <c r="C219" s="186" t="s">
        <v>502</v>
      </c>
      <c r="D219" s="184"/>
      <c r="E219" s="185">
        <v>0.10924</v>
      </c>
      <c r="F219" s="155"/>
      <c r="G219" s="155"/>
      <c r="H219" s="155"/>
      <c r="I219" s="155"/>
      <c r="J219" s="155"/>
      <c r="K219" s="155"/>
      <c r="L219" s="155"/>
      <c r="M219" s="155"/>
      <c r="N219" s="154"/>
      <c r="O219" s="251"/>
      <c r="P219" s="154"/>
      <c r="Q219" s="154"/>
      <c r="R219" s="155"/>
      <c r="S219" s="155"/>
      <c r="T219" s="155"/>
      <c r="U219" s="155"/>
      <c r="V219" s="155"/>
      <c r="W219" s="155"/>
      <c r="X219" s="155"/>
      <c r="Y219" s="155"/>
      <c r="Z219" s="145"/>
      <c r="AA219" s="145"/>
      <c r="AB219" s="145"/>
      <c r="AC219" s="145"/>
      <c r="AD219" s="145"/>
      <c r="AE219" s="145"/>
      <c r="AF219" s="145"/>
      <c r="AG219" s="145" t="s">
        <v>170</v>
      </c>
      <c r="AH219" s="145">
        <v>6</v>
      </c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  <c r="BA219" s="145"/>
      <c r="BB219" s="145"/>
      <c r="BC219" s="145"/>
      <c r="BD219" s="145"/>
      <c r="BE219" s="145"/>
      <c r="BF219" s="145"/>
      <c r="BG219" s="145"/>
      <c r="BH219" s="145"/>
    </row>
    <row r="220" spans="1:60" outlineLevel="3" x14ac:dyDescent="0.25">
      <c r="A220" s="152"/>
      <c r="B220" s="153"/>
      <c r="C220" s="186" t="s">
        <v>503</v>
      </c>
      <c r="D220" s="184"/>
      <c r="E220" s="185">
        <v>8.4000000000000003E-4</v>
      </c>
      <c r="F220" s="155"/>
      <c r="G220" s="155"/>
      <c r="H220" s="155"/>
      <c r="I220" s="155"/>
      <c r="J220" s="155"/>
      <c r="K220" s="155"/>
      <c r="L220" s="155"/>
      <c r="M220" s="155"/>
      <c r="N220" s="154"/>
      <c r="O220" s="251"/>
      <c r="P220" s="154"/>
      <c r="Q220" s="154"/>
      <c r="R220" s="155"/>
      <c r="S220" s="155"/>
      <c r="T220" s="155"/>
      <c r="U220" s="155"/>
      <c r="V220" s="155"/>
      <c r="W220" s="155"/>
      <c r="X220" s="155"/>
      <c r="Y220" s="155"/>
      <c r="Z220" s="145"/>
      <c r="AA220" s="145"/>
      <c r="AB220" s="145"/>
      <c r="AC220" s="145"/>
      <c r="AD220" s="145"/>
      <c r="AE220" s="145"/>
      <c r="AF220" s="145"/>
      <c r="AG220" s="145" t="s">
        <v>170</v>
      </c>
      <c r="AH220" s="145">
        <v>6</v>
      </c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  <c r="BA220" s="145"/>
      <c r="BB220" s="145"/>
      <c r="BC220" s="145"/>
      <c r="BD220" s="145"/>
      <c r="BE220" s="145"/>
      <c r="BF220" s="145"/>
      <c r="BG220" s="145"/>
      <c r="BH220" s="145"/>
    </row>
    <row r="221" spans="1:60" outlineLevel="3" x14ac:dyDescent="0.25">
      <c r="A221" s="152"/>
      <c r="B221" s="153"/>
      <c r="C221" s="186" t="s">
        <v>504</v>
      </c>
      <c r="D221" s="184"/>
      <c r="E221" s="185">
        <v>6.5040000000000001E-2</v>
      </c>
      <c r="F221" s="155"/>
      <c r="G221" s="155"/>
      <c r="H221" s="155"/>
      <c r="I221" s="155"/>
      <c r="J221" s="155"/>
      <c r="K221" s="155"/>
      <c r="L221" s="155"/>
      <c r="M221" s="155"/>
      <c r="N221" s="154"/>
      <c r="O221" s="251"/>
      <c r="P221" s="154"/>
      <c r="Q221" s="154"/>
      <c r="R221" s="155"/>
      <c r="S221" s="155"/>
      <c r="T221" s="155"/>
      <c r="U221" s="155"/>
      <c r="V221" s="155"/>
      <c r="W221" s="155"/>
      <c r="X221" s="155"/>
      <c r="Y221" s="155"/>
      <c r="Z221" s="145"/>
      <c r="AA221" s="145"/>
      <c r="AB221" s="145"/>
      <c r="AC221" s="145"/>
      <c r="AD221" s="145"/>
      <c r="AE221" s="145"/>
      <c r="AF221" s="145"/>
      <c r="AG221" s="145" t="s">
        <v>170</v>
      </c>
      <c r="AH221" s="145">
        <v>6</v>
      </c>
      <c r="AI221" s="145"/>
      <c r="AJ221" s="145"/>
      <c r="AK221" s="145"/>
      <c r="AL221" s="145"/>
      <c r="AM221" s="145"/>
      <c r="AN221" s="145"/>
      <c r="AO221" s="145"/>
      <c r="AP221" s="145"/>
      <c r="AQ221" s="145"/>
      <c r="AR221" s="145"/>
      <c r="AS221" s="145"/>
      <c r="AT221" s="145"/>
      <c r="AU221" s="145"/>
      <c r="AV221" s="145"/>
      <c r="AW221" s="145"/>
      <c r="AX221" s="145"/>
      <c r="AY221" s="145"/>
      <c r="AZ221" s="145"/>
      <c r="BA221" s="145"/>
      <c r="BB221" s="145"/>
      <c r="BC221" s="145"/>
      <c r="BD221" s="145"/>
      <c r="BE221" s="145"/>
      <c r="BF221" s="145"/>
      <c r="BG221" s="145"/>
      <c r="BH221" s="145"/>
    </row>
    <row r="222" spans="1:60" outlineLevel="3" x14ac:dyDescent="0.25">
      <c r="A222" s="152"/>
      <c r="B222" s="153"/>
      <c r="C222" s="186" t="s">
        <v>505</v>
      </c>
      <c r="D222" s="184"/>
      <c r="E222" s="185">
        <v>4.0000000000000001E-3</v>
      </c>
      <c r="F222" s="155"/>
      <c r="G222" s="155"/>
      <c r="H222" s="155"/>
      <c r="I222" s="155"/>
      <c r="J222" s="155"/>
      <c r="K222" s="155"/>
      <c r="L222" s="155"/>
      <c r="M222" s="155"/>
      <c r="N222" s="154"/>
      <c r="O222" s="251"/>
      <c r="P222" s="154"/>
      <c r="Q222" s="154"/>
      <c r="R222" s="155"/>
      <c r="S222" s="155"/>
      <c r="T222" s="155"/>
      <c r="U222" s="155"/>
      <c r="V222" s="155"/>
      <c r="W222" s="155"/>
      <c r="X222" s="155"/>
      <c r="Y222" s="155"/>
      <c r="Z222" s="145"/>
      <c r="AA222" s="145"/>
      <c r="AB222" s="145"/>
      <c r="AC222" s="145"/>
      <c r="AD222" s="145"/>
      <c r="AE222" s="145"/>
      <c r="AF222" s="145"/>
      <c r="AG222" s="145" t="s">
        <v>170</v>
      </c>
      <c r="AH222" s="145">
        <v>6</v>
      </c>
      <c r="AI222" s="145"/>
      <c r="AJ222" s="145"/>
      <c r="AK222" s="145"/>
      <c r="AL222" s="145"/>
      <c r="AM222" s="145"/>
      <c r="AN222" s="145"/>
      <c r="AO222" s="145"/>
      <c r="AP222" s="145"/>
      <c r="AQ222" s="145"/>
      <c r="AR222" s="145"/>
      <c r="AS222" s="145"/>
      <c r="AT222" s="145"/>
      <c r="AU222" s="145"/>
      <c r="AV222" s="145"/>
      <c r="AW222" s="145"/>
      <c r="AX222" s="145"/>
      <c r="AY222" s="145"/>
      <c r="AZ222" s="145"/>
      <c r="BA222" s="145"/>
      <c r="BB222" s="145"/>
      <c r="BC222" s="145"/>
      <c r="BD222" s="145"/>
      <c r="BE222" s="145"/>
      <c r="BF222" s="145"/>
      <c r="BG222" s="145"/>
      <c r="BH222" s="145"/>
    </row>
    <row r="223" spans="1:60" x14ac:dyDescent="0.25">
      <c r="A223" s="159" t="s">
        <v>136</v>
      </c>
      <c r="B223" s="160" t="s">
        <v>96</v>
      </c>
      <c r="C223" s="178" t="s">
        <v>97</v>
      </c>
      <c r="D223" s="161"/>
      <c r="E223" s="162"/>
      <c r="F223" s="163"/>
      <c r="G223" s="164">
        <f>SUMIF(AG224:AG238,"&lt;&gt;NOR",G224:G238)</f>
        <v>0</v>
      </c>
      <c r="H223" s="158"/>
      <c r="I223" s="158">
        <f>SUM(I224:I238)</f>
        <v>35401.64</v>
      </c>
      <c r="J223" s="158"/>
      <c r="K223" s="158">
        <f>SUM(K224:K238)</f>
        <v>9442.36</v>
      </c>
      <c r="L223" s="158"/>
      <c r="M223" s="158">
        <f>SUM(M224:M238)</f>
        <v>0</v>
      </c>
      <c r="N223" s="157"/>
      <c r="O223" s="252">
        <f>SUM(O224:O238)</f>
        <v>0.02</v>
      </c>
      <c r="P223" s="157"/>
      <c r="Q223" s="157">
        <f>SUM(Q224:Q238)</f>
        <v>0</v>
      </c>
      <c r="R223" s="158"/>
      <c r="S223" s="158"/>
      <c r="T223" s="158"/>
      <c r="U223" s="158"/>
      <c r="V223" s="158">
        <f>SUM(V224:V238)</f>
        <v>16.04</v>
      </c>
      <c r="W223" s="158"/>
      <c r="X223" s="158"/>
      <c r="Y223" s="158"/>
      <c r="AG223" t="s">
        <v>137</v>
      </c>
    </row>
    <row r="224" spans="1:60" ht="20.399999999999999" outlineLevel="1" x14ac:dyDescent="0.25">
      <c r="A224" s="172">
        <v>102</v>
      </c>
      <c r="B224" s="173" t="s">
        <v>506</v>
      </c>
      <c r="C224" s="179" t="s">
        <v>507</v>
      </c>
      <c r="D224" s="174" t="s">
        <v>158</v>
      </c>
      <c r="E224" s="175">
        <v>6</v>
      </c>
      <c r="F224" s="176"/>
      <c r="G224" s="177">
        <f>ROUND(E224*F224,2)</f>
        <v>0</v>
      </c>
      <c r="H224" s="156">
        <v>5035.51</v>
      </c>
      <c r="I224" s="155">
        <f>ROUND(E224*H224,2)</f>
        <v>30213.06</v>
      </c>
      <c r="J224" s="156">
        <v>1554.49</v>
      </c>
      <c r="K224" s="155">
        <f>ROUND(E224*J224,2)</f>
        <v>9326.94</v>
      </c>
      <c r="L224" s="155">
        <v>21</v>
      </c>
      <c r="M224" s="155">
        <f>G224*(1+L224/100)</f>
        <v>0</v>
      </c>
      <c r="N224" s="154">
        <v>2.5000000000000001E-3</v>
      </c>
      <c r="O224" s="251">
        <f>ROUND(E224*N224,2)</f>
        <v>0.02</v>
      </c>
      <c r="P224" s="154">
        <v>0</v>
      </c>
      <c r="Q224" s="154">
        <f>ROUND(E224*P224,2)</f>
        <v>0</v>
      </c>
      <c r="R224" s="155"/>
      <c r="S224" s="155" t="s">
        <v>1198</v>
      </c>
      <c r="T224" s="155" t="s">
        <v>1198</v>
      </c>
      <c r="U224" s="155">
        <v>2.64</v>
      </c>
      <c r="V224" s="155">
        <f>ROUND(E224*U224,2)</f>
        <v>15.84</v>
      </c>
      <c r="W224" s="155"/>
      <c r="X224" s="155" t="s">
        <v>143</v>
      </c>
      <c r="Y224" s="155" t="s">
        <v>144</v>
      </c>
      <c r="Z224" s="145"/>
      <c r="AA224" s="145"/>
      <c r="AB224" s="145"/>
      <c r="AC224" s="145"/>
      <c r="AD224" s="145"/>
      <c r="AE224" s="145"/>
      <c r="AF224" s="145"/>
      <c r="AG224" s="145" t="s">
        <v>145</v>
      </c>
      <c r="AH224" s="145"/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  <c r="BA224" s="145"/>
      <c r="BB224" s="145"/>
      <c r="BC224" s="145"/>
      <c r="BD224" s="145"/>
      <c r="BE224" s="145"/>
      <c r="BF224" s="145"/>
      <c r="BG224" s="145"/>
      <c r="BH224" s="145"/>
    </row>
    <row r="225" spans="1:60" outlineLevel="1" x14ac:dyDescent="0.25">
      <c r="A225" s="166">
        <v>103</v>
      </c>
      <c r="B225" s="167" t="s">
        <v>508</v>
      </c>
      <c r="C225" s="180" t="s">
        <v>509</v>
      </c>
      <c r="D225" s="168" t="s">
        <v>158</v>
      </c>
      <c r="E225" s="169">
        <v>1</v>
      </c>
      <c r="F225" s="170"/>
      <c r="G225" s="171">
        <f>ROUND(E225*F225,2)</f>
        <v>0</v>
      </c>
      <c r="H225" s="156">
        <v>4886.3599999999997</v>
      </c>
      <c r="I225" s="155">
        <f>ROUND(E225*H225,2)</f>
        <v>4886.3599999999997</v>
      </c>
      <c r="J225" s="156">
        <v>103.64</v>
      </c>
      <c r="K225" s="155">
        <f>ROUND(E225*J225,2)</f>
        <v>103.64</v>
      </c>
      <c r="L225" s="155">
        <v>21</v>
      </c>
      <c r="M225" s="155">
        <f>G225*(1+L225/100)</f>
        <v>0</v>
      </c>
      <c r="N225" s="154">
        <v>4.4600000000000004E-3</v>
      </c>
      <c r="O225" s="251">
        <f>ROUND(E225*N225,2)</f>
        <v>0</v>
      </c>
      <c r="P225" s="154">
        <v>0</v>
      </c>
      <c r="Q225" s="154">
        <f>ROUND(E225*P225,2)</f>
        <v>0</v>
      </c>
      <c r="R225" s="155"/>
      <c r="S225" s="155" t="s">
        <v>1198</v>
      </c>
      <c r="T225" s="155" t="s">
        <v>1198</v>
      </c>
      <c r="U225" s="155">
        <v>0.17599999999999999</v>
      </c>
      <c r="V225" s="155">
        <f>ROUND(E225*U225,2)</f>
        <v>0.18</v>
      </c>
      <c r="W225" s="155"/>
      <c r="X225" s="155" t="s">
        <v>143</v>
      </c>
      <c r="Y225" s="155" t="s">
        <v>144</v>
      </c>
      <c r="Z225" s="145"/>
      <c r="AA225" s="145"/>
      <c r="AB225" s="145"/>
      <c r="AC225" s="145"/>
      <c r="AD225" s="145"/>
      <c r="AE225" s="145"/>
      <c r="AF225" s="145"/>
      <c r="AG225" s="145" t="s">
        <v>145</v>
      </c>
      <c r="AH225" s="145"/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  <c r="BA225" s="145"/>
      <c r="BB225" s="145"/>
      <c r="BC225" s="145"/>
      <c r="BD225" s="145"/>
      <c r="BE225" s="145"/>
      <c r="BF225" s="145"/>
      <c r="BG225" s="145"/>
      <c r="BH225" s="145"/>
    </row>
    <row r="226" spans="1:60" outlineLevel="2" x14ac:dyDescent="0.25">
      <c r="A226" s="152"/>
      <c r="B226" s="153"/>
      <c r="C226" s="186" t="s">
        <v>63</v>
      </c>
      <c r="D226" s="184"/>
      <c r="E226" s="185">
        <v>1</v>
      </c>
      <c r="F226" s="155"/>
      <c r="G226" s="155"/>
      <c r="H226" s="155"/>
      <c r="I226" s="155"/>
      <c r="J226" s="155"/>
      <c r="K226" s="155"/>
      <c r="L226" s="155"/>
      <c r="M226" s="155"/>
      <c r="N226" s="154"/>
      <c r="O226" s="251"/>
      <c r="P226" s="154"/>
      <c r="Q226" s="154"/>
      <c r="R226" s="155"/>
      <c r="S226" s="155"/>
      <c r="T226" s="155"/>
      <c r="U226" s="155"/>
      <c r="V226" s="155"/>
      <c r="W226" s="155"/>
      <c r="X226" s="155"/>
      <c r="Y226" s="155"/>
      <c r="Z226" s="145"/>
      <c r="AA226" s="145"/>
      <c r="AB226" s="145"/>
      <c r="AC226" s="145"/>
      <c r="AD226" s="145"/>
      <c r="AE226" s="145"/>
      <c r="AF226" s="145"/>
      <c r="AG226" s="145" t="s">
        <v>170</v>
      </c>
      <c r="AH226" s="145">
        <v>0</v>
      </c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  <c r="BA226" s="145"/>
      <c r="BB226" s="145"/>
      <c r="BC226" s="145"/>
      <c r="BD226" s="145"/>
      <c r="BE226" s="145"/>
      <c r="BF226" s="145"/>
      <c r="BG226" s="145"/>
      <c r="BH226" s="145"/>
    </row>
    <row r="227" spans="1:60" outlineLevel="1" x14ac:dyDescent="0.25">
      <c r="A227" s="172">
        <v>104</v>
      </c>
      <c r="B227" s="173" t="s">
        <v>510</v>
      </c>
      <c r="C227" s="179" t="s">
        <v>511</v>
      </c>
      <c r="D227" s="174" t="s">
        <v>158</v>
      </c>
      <c r="E227" s="175">
        <v>1</v>
      </c>
      <c r="F227" s="176"/>
      <c r="G227" s="177">
        <f>ROUND(E227*F227,2)</f>
        <v>0</v>
      </c>
      <c r="H227" s="156">
        <v>302.22000000000003</v>
      </c>
      <c r="I227" s="155">
        <f>ROUND(E227*H227,2)</f>
        <v>302.22000000000003</v>
      </c>
      <c r="J227" s="156">
        <v>11.78</v>
      </c>
      <c r="K227" s="155">
        <f>ROUND(E227*J227,2)</f>
        <v>11.78</v>
      </c>
      <c r="L227" s="155">
        <v>21</v>
      </c>
      <c r="M227" s="155">
        <f>G227*(1+L227/100)</f>
        <v>0</v>
      </c>
      <c r="N227" s="154">
        <v>2.1000000000000001E-4</v>
      </c>
      <c r="O227" s="251">
        <f>ROUND(E227*N227,2)</f>
        <v>0</v>
      </c>
      <c r="P227" s="154">
        <v>0</v>
      </c>
      <c r="Q227" s="154">
        <f>ROUND(E227*P227,2)</f>
        <v>0</v>
      </c>
      <c r="R227" s="155"/>
      <c r="S227" s="155" t="s">
        <v>1198</v>
      </c>
      <c r="T227" s="155" t="s">
        <v>1198</v>
      </c>
      <c r="U227" s="155">
        <v>0.02</v>
      </c>
      <c r="V227" s="155">
        <f>ROUND(E227*U227,2)</f>
        <v>0.02</v>
      </c>
      <c r="W227" s="155"/>
      <c r="X227" s="155" t="s">
        <v>143</v>
      </c>
      <c r="Y227" s="155" t="s">
        <v>144</v>
      </c>
      <c r="Z227" s="145"/>
      <c r="AA227" s="145"/>
      <c r="AB227" s="145"/>
      <c r="AC227" s="145"/>
      <c r="AD227" s="145"/>
      <c r="AE227" s="145"/>
      <c r="AF227" s="145"/>
      <c r="AG227" s="145" t="s">
        <v>145</v>
      </c>
      <c r="AH227" s="145"/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  <c r="BA227" s="145"/>
      <c r="BB227" s="145"/>
      <c r="BC227" s="145"/>
      <c r="BD227" s="145"/>
      <c r="BE227" s="145"/>
      <c r="BF227" s="145"/>
      <c r="BG227" s="145"/>
      <c r="BH227" s="145"/>
    </row>
    <row r="228" spans="1:60" outlineLevel="1" x14ac:dyDescent="0.25">
      <c r="A228" s="256"/>
      <c r="B228" s="257"/>
      <c r="C228" s="261" t="s">
        <v>1200</v>
      </c>
      <c r="D228" s="258" t="s">
        <v>158</v>
      </c>
      <c r="E228" s="259">
        <v>1</v>
      </c>
      <c r="F228" s="260"/>
      <c r="G228" s="177">
        <f t="shared" ref="G228:G238" si="23">ROUND(E228*F228,2)</f>
        <v>0</v>
      </c>
      <c r="H228" s="156"/>
      <c r="I228" s="155"/>
      <c r="J228" s="156"/>
      <c r="K228" s="155"/>
      <c r="L228" s="155"/>
      <c r="M228" s="155"/>
      <c r="N228" s="154"/>
      <c r="O228" s="251"/>
      <c r="P228" s="154"/>
      <c r="Q228" s="154"/>
      <c r="R228" s="155"/>
      <c r="S228" s="155"/>
      <c r="T228" s="155"/>
      <c r="U228" s="155"/>
      <c r="V228" s="155"/>
      <c r="W228" s="155"/>
      <c r="X228" s="155"/>
      <c r="Y228" s="155"/>
      <c r="Z228" s="145"/>
      <c r="AA228" s="145"/>
      <c r="AB228" s="145"/>
      <c r="AC228" s="145"/>
      <c r="AD228" s="145"/>
      <c r="AE228" s="145"/>
      <c r="AF228" s="145"/>
      <c r="AG228" s="145"/>
      <c r="AH228" s="145"/>
      <c r="AI228" s="145"/>
      <c r="AJ228" s="145"/>
      <c r="AK228" s="145"/>
      <c r="AL228" s="145"/>
      <c r="AM228" s="145"/>
      <c r="AN228" s="145"/>
      <c r="AO228" s="145"/>
      <c r="AP228" s="145"/>
      <c r="AQ228" s="145"/>
      <c r="AR228" s="145"/>
      <c r="AS228" s="145"/>
      <c r="AT228" s="145"/>
      <c r="AU228" s="145"/>
      <c r="AV228" s="145"/>
      <c r="AW228" s="145"/>
      <c r="AX228" s="145"/>
      <c r="AY228" s="145"/>
      <c r="AZ228" s="145"/>
      <c r="BA228" s="145"/>
      <c r="BB228" s="145"/>
      <c r="BC228" s="145"/>
      <c r="BD228" s="145"/>
      <c r="BE228" s="145"/>
      <c r="BF228" s="145"/>
      <c r="BG228" s="145"/>
      <c r="BH228" s="145"/>
    </row>
    <row r="229" spans="1:60" outlineLevel="1" x14ac:dyDescent="0.25">
      <c r="A229" s="256"/>
      <c r="B229" s="257"/>
      <c r="C229" s="261" t="s">
        <v>1201</v>
      </c>
      <c r="D229" s="258" t="s">
        <v>158</v>
      </c>
      <c r="E229" s="259">
        <v>1</v>
      </c>
      <c r="F229" s="260"/>
      <c r="G229" s="177">
        <f t="shared" si="23"/>
        <v>0</v>
      </c>
      <c r="H229" s="156"/>
      <c r="I229" s="155"/>
      <c r="J229" s="156"/>
      <c r="K229" s="155"/>
      <c r="L229" s="155"/>
      <c r="M229" s="155"/>
      <c r="N229" s="154"/>
      <c r="O229" s="251"/>
      <c r="P229" s="154"/>
      <c r="Q229" s="154"/>
      <c r="R229" s="155"/>
      <c r="S229" s="155"/>
      <c r="T229" s="155"/>
      <c r="U229" s="155"/>
      <c r="V229" s="155"/>
      <c r="W229" s="155"/>
      <c r="X229" s="155"/>
      <c r="Y229" s="155"/>
      <c r="Z229" s="145"/>
      <c r="AA229" s="145"/>
      <c r="AB229" s="145"/>
      <c r="AC229" s="145"/>
      <c r="AD229" s="145"/>
      <c r="AE229" s="145"/>
      <c r="AF229" s="145"/>
      <c r="AG229" s="145"/>
      <c r="AH229" s="145"/>
      <c r="AI229" s="145"/>
      <c r="AJ229" s="145"/>
      <c r="AK229" s="145"/>
      <c r="AL229" s="145"/>
      <c r="AM229" s="145"/>
      <c r="AN229" s="145"/>
      <c r="AO229" s="145"/>
      <c r="AP229" s="145"/>
      <c r="AQ229" s="145"/>
      <c r="AR229" s="145"/>
      <c r="AS229" s="145"/>
      <c r="AT229" s="145"/>
      <c r="AU229" s="145"/>
      <c r="AV229" s="145"/>
      <c r="AW229" s="145"/>
      <c r="AX229" s="145"/>
      <c r="AY229" s="145"/>
      <c r="AZ229" s="145"/>
      <c r="BA229" s="145"/>
      <c r="BB229" s="145"/>
      <c r="BC229" s="145"/>
      <c r="BD229" s="145"/>
      <c r="BE229" s="145"/>
      <c r="BF229" s="145"/>
      <c r="BG229" s="145"/>
      <c r="BH229" s="145"/>
    </row>
    <row r="230" spans="1:60" outlineLevel="1" x14ac:dyDescent="0.25">
      <c r="A230" s="256"/>
      <c r="B230" s="257"/>
      <c r="C230" s="261" t="s">
        <v>1202</v>
      </c>
      <c r="D230" s="258" t="s">
        <v>726</v>
      </c>
      <c r="E230" s="259">
        <v>1</v>
      </c>
      <c r="F230" s="260"/>
      <c r="G230" s="177">
        <f t="shared" si="23"/>
        <v>0</v>
      </c>
      <c r="H230" s="156"/>
      <c r="I230" s="155"/>
      <c r="J230" s="156"/>
      <c r="K230" s="155"/>
      <c r="L230" s="155"/>
      <c r="M230" s="155"/>
      <c r="N230" s="154"/>
      <c r="O230" s="251"/>
      <c r="P230" s="154"/>
      <c r="Q230" s="154"/>
      <c r="R230" s="155"/>
      <c r="S230" s="155"/>
      <c r="T230" s="155"/>
      <c r="U230" s="155"/>
      <c r="V230" s="155"/>
      <c r="W230" s="155"/>
      <c r="X230" s="155"/>
      <c r="Y230" s="155"/>
      <c r="Z230" s="145"/>
      <c r="AA230" s="145"/>
      <c r="AB230" s="145"/>
      <c r="AC230" s="145"/>
      <c r="AD230" s="145"/>
      <c r="AE230" s="145"/>
      <c r="AF230" s="145"/>
      <c r="AG230" s="145"/>
      <c r="AH230" s="145"/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  <c r="BA230" s="145"/>
      <c r="BB230" s="145"/>
      <c r="BC230" s="145"/>
      <c r="BD230" s="145"/>
      <c r="BE230" s="145"/>
      <c r="BF230" s="145"/>
      <c r="BG230" s="145"/>
      <c r="BH230" s="145"/>
    </row>
    <row r="231" spans="1:60" outlineLevel="1" x14ac:dyDescent="0.25">
      <c r="A231" s="256"/>
      <c r="B231" s="257"/>
      <c r="C231" s="261" t="s">
        <v>1203</v>
      </c>
      <c r="D231" s="258" t="s">
        <v>158</v>
      </c>
      <c r="E231" s="259">
        <v>1</v>
      </c>
      <c r="F231" s="260"/>
      <c r="G231" s="177">
        <f t="shared" si="23"/>
        <v>0</v>
      </c>
      <c r="H231" s="156"/>
      <c r="I231" s="155"/>
      <c r="J231" s="156"/>
      <c r="K231" s="155"/>
      <c r="L231" s="155"/>
      <c r="M231" s="155"/>
      <c r="N231" s="154"/>
      <c r="O231" s="251"/>
      <c r="P231" s="154"/>
      <c r="Q231" s="154"/>
      <c r="R231" s="155"/>
      <c r="S231" s="155"/>
      <c r="T231" s="155"/>
      <c r="U231" s="155"/>
      <c r="V231" s="155"/>
      <c r="W231" s="155"/>
      <c r="X231" s="155"/>
      <c r="Y231" s="155"/>
      <c r="Z231" s="145"/>
      <c r="AA231" s="145"/>
      <c r="AB231" s="145"/>
      <c r="AC231" s="145"/>
      <c r="AD231" s="145"/>
      <c r="AE231" s="145"/>
      <c r="AF231" s="145"/>
      <c r="AG231" s="145"/>
      <c r="AH231" s="145"/>
      <c r="AI231" s="145"/>
      <c r="AJ231" s="145"/>
      <c r="AK231" s="145"/>
      <c r="AL231" s="145"/>
      <c r="AM231" s="145"/>
      <c r="AN231" s="145"/>
      <c r="AO231" s="145"/>
      <c r="AP231" s="145"/>
      <c r="AQ231" s="145"/>
      <c r="AR231" s="145"/>
      <c r="AS231" s="145"/>
      <c r="AT231" s="145"/>
      <c r="AU231" s="145"/>
      <c r="AV231" s="145"/>
      <c r="AW231" s="145"/>
      <c r="AX231" s="145"/>
      <c r="AY231" s="145"/>
      <c r="AZ231" s="145"/>
      <c r="BA231" s="145"/>
      <c r="BB231" s="145"/>
      <c r="BC231" s="145"/>
      <c r="BD231" s="145"/>
      <c r="BE231" s="145"/>
      <c r="BF231" s="145"/>
      <c r="BG231" s="145"/>
      <c r="BH231" s="145"/>
    </row>
    <row r="232" spans="1:60" outlineLevel="1" x14ac:dyDescent="0.25">
      <c r="A232" s="256"/>
      <c r="B232" s="257"/>
      <c r="C232" s="261" t="s">
        <v>1204</v>
      </c>
      <c r="D232" s="258" t="s">
        <v>158</v>
      </c>
      <c r="E232" s="259">
        <v>1</v>
      </c>
      <c r="F232" s="260"/>
      <c r="G232" s="177">
        <f t="shared" si="23"/>
        <v>0</v>
      </c>
      <c r="H232" s="156"/>
      <c r="I232" s="155"/>
      <c r="J232" s="156"/>
      <c r="K232" s="155"/>
      <c r="L232" s="155"/>
      <c r="M232" s="155"/>
      <c r="N232" s="154"/>
      <c r="O232" s="251"/>
      <c r="P232" s="154"/>
      <c r="Q232" s="154"/>
      <c r="R232" s="155"/>
      <c r="S232" s="155"/>
      <c r="T232" s="155"/>
      <c r="U232" s="155"/>
      <c r="V232" s="155"/>
      <c r="W232" s="155"/>
      <c r="X232" s="155"/>
      <c r="Y232" s="155"/>
      <c r="Z232" s="145"/>
      <c r="AA232" s="145"/>
      <c r="AB232" s="145"/>
      <c r="AC232" s="145"/>
      <c r="AD232" s="145"/>
      <c r="AE232" s="145"/>
      <c r="AF232" s="145"/>
      <c r="AG232" s="145"/>
      <c r="AH232" s="145"/>
      <c r="AI232" s="145"/>
      <c r="AJ232" s="145"/>
      <c r="AK232" s="145"/>
      <c r="AL232" s="145"/>
      <c r="AM232" s="145"/>
      <c r="AN232" s="145"/>
      <c r="AO232" s="145"/>
      <c r="AP232" s="145"/>
      <c r="AQ232" s="145"/>
      <c r="AR232" s="145"/>
      <c r="AS232" s="145"/>
      <c r="AT232" s="145"/>
      <c r="AU232" s="145"/>
      <c r="AV232" s="145"/>
      <c r="AW232" s="145"/>
      <c r="AX232" s="145"/>
      <c r="AY232" s="145"/>
      <c r="AZ232" s="145"/>
      <c r="BA232" s="145"/>
      <c r="BB232" s="145"/>
      <c r="BC232" s="145"/>
      <c r="BD232" s="145"/>
      <c r="BE232" s="145"/>
      <c r="BF232" s="145"/>
      <c r="BG232" s="145"/>
      <c r="BH232" s="145"/>
    </row>
    <row r="233" spans="1:60" outlineLevel="1" x14ac:dyDescent="0.25">
      <c r="A233" s="256"/>
      <c r="B233" s="257"/>
      <c r="C233" s="261" t="s">
        <v>1205</v>
      </c>
      <c r="D233" s="258" t="s">
        <v>158</v>
      </c>
      <c r="E233" s="259">
        <v>1</v>
      </c>
      <c r="F233" s="260"/>
      <c r="G233" s="177">
        <f t="shared" si="23"/>
        <v>0</v>
      </c>
      <c r="H233" s="156"/>
      <c r="I233" s="155"/>
      <c r="J233" s="156"/>
      <c r="K233" s="155"/>
      <c r="L233" s="155"/>
      <c r="M233" s="155"/>
      <c r="N233" s="154"/>
      <c r="O233" s="251"/>
      <c r="P233" s="154"/>
      <c r="Q233" s="154"/>
      <c r="R233" s="155"/>
      <c r="S233" s="155"/>
      <c r="T233" s="155"/>
      <c r="U233" s="155"/>
      <c r="V233" s="155"/>
      <c r="W233" s="155"/>
      <c r="X233" s="155"/>
      <c r="Y233" s="155"/>
      <c r="Z233" s="145"/>
      <c r="AA233" s="145"/>
      <c r="AB233" s="145"/>
      <c r="AC233" s="145"/>
      <c r="AD233" s="145"/>
      <c r="AE233" s="145"/>
      <c r="AF233" s="145"/>
      <c r="AG233" s="145"/>
      <c r="AH233" s="145"/>
      <c r="AI233" s="145"/>
      <c r="AJ233" s="145"/>
      <c r="AK233" s="145"/>
      <c r="AL233" s="145"/>
      <c r="AM233" s="145"/>
      <c r="AN233" s="145"/>
      <c r="AO233" s="145"/>
      <c r="AP233" s="145"/>
      <c r="AQ233" s="145"/>
      <c r="AR233" s="145"/>
      <c r="AS233" s="145"/>
      <c r="AT233" s="145"/>
      <c r="AU233" s="145"/>
      <c r="AV233" s="145"/>
      <c r="AW233" s="145"/>
      <c r="AX233" s="145"/>
      <c r="AY233" s="145"/>
      <c r="AZ233" s="145"/>
      <c r="BA233" s="145"/>
      <c r="BB233" s="145"/>
      <c r="BC233" s="145"/>
      <c r="BD233" s="145"/>
      <c r="BE233" s="145"/>
      <c r="BF233" s="145"/>
      <c r="BG233" s="145"/>
      <c r="BH233" s="145"/>
    </row>
    <row r="234" spans="1:60" outlineLevel="1" x14ac:dyDescent="0.25">
      <c r="A234" s="256"/>
      <c r="B234" s="257"/>
      <c r="C234" s="261" t="s">
        <v>1206</v>
      </c>
      <c r="D234" s="258" t="s">
        <v>158</v>
      </c>
      <c r="E234" s="259">
        <v>1</v>
      </c>
      <c r="F234" s="260"/>
      <c r="G234" s="177">
        <f t="shared" si="23"/>
        <v>0</v>
      </c>
      <c r="H234" s="156"/>
      <c r="I234" s="155"/>
      <c r="J234" s="156"/>
      <c r="K234" s="155"/>
      <c r="L234" s="155"/>
      <c r="M234" s="155"/>
      <c r="N234" s="154"/>
      <c r="O234" s="251"/>
      <c r="P234" s="154"/>
      <c r="Q234" s="154"/>
      <c r="R234" s="155"/>
      <c r="S234" s="155"/>
      <c r="T234" s="155"/>
      <c r="U234" s="155"/>
      <c r="V234" s="155"/>
      <c r="W234" s="155"/>
      <c r="X234" s="155"/>
      <c r="Y234" s="155"/>
      <c r="Z234" s="145"/>
      <c r="AA234" s="145"/>
      <c r="AB234" s="145"/>
      <c r="AC234" s="145"/>
      <c r="AD234" s="145"/>
      <c r="AE234" s="145"/>
      <c r="AF234" s="145"/>
      <c r="AG234" s="145"/>
      <c r="AH234" s="145"/>
      <c r="AI234" s="145"/>
      <c r="AJ234" s="145"/>
      <c r="AK234" s="145"/>
      <c r="AL234" s="145"/>
      <c r="AM234" s="145"/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  <c r="BA234" s="145"/>
      <c r="BB234" s="145"/>
      <c r="BC234" s="145"/>
      <c r="BD234" s="145"/>
      <c r="BE234" s="145"/>
      <c r="BF234" s="145"/>
      <c r="BG234" s="145"/>
      <c r="BH234" s="145"/>
    </row>
    <row r="235" spans="1:60" outlineLevel="1" x14ac:dyDescent="0.25">
      <c r="A235" s="256"/>
      <c r="B235" s="257"/>
      <c r="C235" s="261" t="s">
        <v>1207</v>
      </c>
      <c r="D235" s="258" t="s">
        <v>158</v>
      </c>
      <c r="E235" s="259">
        <v>1</v>
      </c>
      <c r="F235" s="260"/>
      <c r="G235" s="177">
        <f t="shared" si="23"/>
        <v>0</v>
      </c>
      <c r="H235" s="156"/>
      <c r="I235" s="155"/>
      <c r="J235" s="156"/>
      <c r="K235" s="155"/>
      <c r="L235" s="155"/>
      <c r="M235" s="155"/>
      <c r="N235" s="154"/>
      <c r="O235" s="251"/>
      <c r="P235" s="154"/>
      <c r="Q235" s="154"/>
      <c r="R235" s="155"/>
      <c r="S235" s="155"/>
      <c r="T235" s="155"/>
      <c r="U235" s="155"/>
      <c r="V235" s="155"/>
      <c r="W235" s="155"/>
      <c r="X235" s="155"/>
      <c r="Y235" s="155"/>
      <c r="Z235" s="145"/>
      <c r="AA235" s="145"/>
      <c r="AB235" s="145"/>
      <c r="AC235" s="145"/>
      <c r="AD235" s="145"/>
      <c r="AE235" s="145"/>
      <c r="AF235" s="145"/>
      <c r="AG235" s="145"/>
      <c r="AH235" s="145"/>
      <c r="AI235" s="145"/>
      <c r="AJ235" s="145"/>
      <c r="AK235" s="145"/>
      <c r="AL235" s="145"/>
      <c r="AM235" s="145"/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  <c r="BA235" s="145"/>
      <c r="BB235" s="145"/>
      <c r="BC235" s="145"/>
      <c r="BD235" s="145"/>
      <c r="BE235" s="145"/>
      <c r="BF235" s="145"/>
      <c r="BG235" s="145"/>
      <c r="BH235" s="145"/>
    </row>
    <row r="236" spans="1:60" outlineLevel="1" x14ac:dyDescent="0.25">
      <c r="A236" s="256"/>
      <c r="B236" s="257"/>
      <c r="C236" s="261" t="s">
        <v>1208</v>
      </c>
      <c r="D236" s="258" t="s">
        <v>158</v>
      </c>
      <c r="E236" s="259">
        <v>2</v>
      </c>
      <c r="F236" s="260"/>
      <c r="G236" s="177">
        <f t="shared" si="23"/>
        <v>0</v>
      </c>
      <c r="H236" s="156"/>
      <c r="I236" s="155"/>
      <c r="J236" s="156"/>
      <c r="K236" s="155"/>
      <c r="L236" s="155"/>
      <c r="M236" s="155"/>
      <c r="N236" s="154"/>
      <c r="O236" s="251"/>
      <c r="P236" s="154"/>
      <c r="Q236" s="154"/>
      <c r="R236" s="155"/>
      <c r="S236" s="155"/>
      <c r="T236" s="155"/>
      <c r="U236" s="155"/>
      <c r="V236" s="155"/>
      <c r="W236" s="155"/>
      <c r="X236" s="155"/>
      <c r="Y236" s="155"/>
      <c r="Z236" s="145"/>
      <c r="AA236" s="145"/>
      <c r="AB236" s="145"/>
      <c r="AC236" s="145"/>
      <c r="AD236" s="145"/>
      <c r="AE236" s="145"/>
      <c r="AF236" s="145"/>
      <c r="AG236" s="145"/>
      <c r="AH236" s="145"/>
      <c r="AI236" s="145"/>
      <c r="AJ236" s="145"/>
      <c r="AK236" s="145"/>
      <c r="AL236" s="145"/>
      <c r="AM236" s="145"/>
      <c r="AN236" s="145"/>
      <c r="AO236" s="145"/>
      <c r="AP236" s="145"/>
      <c r="AQ236" s="145"/>
      <c r="AR236" s="145"/>
      <c r="AS236" s="145"/>
      <c r="AT236" s="145"/>
      <c r="AU236" s="145"/>
      <c r="AV236" s="145"/>
      <c r="AW236" s="145"/>
      <c r="AX236" s="145"/>
      <c r="AY236" s="145"/>
      <c r="AZ236" s="145"/>
      <c r="BA236" s="145"/>
      <c r="BB236" s="145"/>
      <c r="BC236" s="145"/>
      <c r="BD236" s="145"/>
      <c r="BE236" s="145"/>
      <c r="BF236" s="145"/>
      <c r="BG236" s="145"/>
      <c r="BH236" s="145"/>
    </row>
    <row r="237" spans="1:60" outlineLevel="1" x14ac:dyDescent="0.25">
      <c r="A237" s="256"/>
      <c r="B237" s="257"/>
      <c r="C237" s="261" t="s">
        <v>1209</v>
      </c>
      <c r="D237" s="258" t="s">
        <v>158</v>
      </c>
      <c r="E237" s="259">
        <v>1</v>
      </c>
      <c r="F237" s="260"/>
      <c r="G237" s="177">
        <f t="shared" si="23"/>
        <v>0</v>
      </c>
      <c r="H237" s="156"/>
      <c r="I237" s="155"/>
      <c r="J237" s="156"/>
      <c r="K237" s="155"/>
      <c r="L237" s="155"/>
      <c r="M237" s="155"/>
      <c r="N237" s="154"/>
      <c r="O237" s="251"/>
      <c r="P237" s="154"/>
      <c r="Q237" s="154"/>
      <c r="R237" s="155"/>
      <c r="S237" s="155"/>
      <c r="T237" s="155"/>
      <c r="U237" s="155"/>
      <c r="V237" s="155"/>
      <c r="W237" s="155"/>
      <c r="X237" s="155"/>
      <c r="Y237" s="155"/>
      <c r="Z237" s="145"/>
      <c r="AA237" s="145"/>
      <c r="AB237" s="145"/>
      <c r="AC237" s="145"/>
      <c r="AD237" s="145"/>
      <c r="AE237" s="145"/>
      <c r="AF237" s="145"/>
      <c r="AG237" s="145"/>
      <c r="AH237" s="145"/>
      <c r="AI237" s="145"/>
      <c r="AJ237" s="145"/>
      <c r="AK237" s="145"/>
      <c r="AL237" s="145"/>
      <c r="AM237" s="145"/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  <c r="BA237" s="145"/>
      <c r="BB237" s="145"/>
      <c r="BC237" s="145"/>
      <c r="BD237" s="145"/>
      <c r="BE237" s="145"/>
      <c r="BF237" s="145"/>
      <c r="BG237" s="145"/>
      <c r="BH237" s="145"/>
    </row>
    <row r="238" spans="1:60" outlineLevel="1" x14ac:dyDescent="0.25">
      <c r="A238" s="256"/>
      <c r="B238" s="257"/>
      <c r="C238" s="261" t="s">
        <v>1210</v>
      </c>
      <c r="D238" s="258" t="s">
        <v>158</v>
      </c>
      <c r="E238" s="259">
        <v>2</v>
      </c>
      <c r="F238" s="260"/>
      <c r="G238" s="177">
        <f t="shared" si="23"/>
        <v>0</v>
      </c>
      <c r="H238" s="156"/>
      <c r="I238" s="155"/>
      <c r="J238" s="156"/>
      <c r="K238" s="155"/>
      <c r="L238" s="155"/>
      <c r="M238" s="155"/>
      <c r="N238" s="154"/>
      <c r="O238" s="251"/>
      <c r="P238" s="154"/>
      <c r="Q238" s="154"/>
      <c r="R238" s="155"/>
      <c r="S238" s="155"/>
      <c r="T238" s="155"/>
      <c r="U238" s="155"/>
      <c r="V238" s="155"/>
      <c r="W238" s="155"/>
      <c r="X238" s="155"/>
      <c r="Y238" s="155"/>
      <c r="Z238" s="145"/>
      <c r="AA238" s="145"/>
      <c r="AB238" s="145"/>
      <c r="AC238" s="145"/>
      <c r="AD238" s="145"/>
      <c r="AE238" s="145"/>
      <c r="AF238" s="145"/>
      <c r="AG238" s="145"/>
      <c r="AH238" s="145"/>
      <c r="AI238" s="145"/>
      <c r="AJ238" s="145"/>
      <c r="AK238" s="145"/>
      <c r="AL238" s="145"/>
      <c r="AM238" s="145"/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  <c r="BA238" s="145"/>
      <c r="BB238" s="145"/>
      <c r="BC238" s="145"/>
      <c r="BD238" s="145"/>
      <c r="BE238" s="145"/>
      <c r="BF238" s="145"/>
      <c r="BG238" s="145"/>
      <c r="BH238" s="145"/>
    </row>
    <row r="239" spans="1:60" x14ac:dyDescent="0.25">
      <c r="A239" s="159" t="s">
        <v>136</v>
      </c>
      <c r="B239" s="160" t="s">
        <v>98</v>
      </c>
      <c r="C239" s="178" t="s">
        <v>99</v>
      </c>
      <c r="D239" s="161"/>
      <c r="E239" s="162"/>
      <c r="F239" s="163"/>
      <c r="G239" s="164">
        <f>SUMIF(AG240:AG255,"&lt;&gt;NOR",G240:G255)</f>
        <v>0</v>
      </c>
      <c r="H239" s="158"/>
      <c r="I239" s="158">
        <f>SUM(I240:I255)</f>
        <v>57588.54</v>
      </c>
      <c r="J239" s="158"/>
      <c r="K239" s="158">
        <f>SUM(K240:K255)</f>
        <v>33099.629999999997</v>
      </c>
      <c r="L239" s="158"/>
      <c r="M239" s="158">
        <f>SUM(M240:M255)</f>
        <v>0</v>
      </c>
      <c r="N239" s="157"/>
      <c r="O239" s="252">
        <f>SUM(O240:O255)</f>
        <v>1.48</v>
      </c>
      <c r="P239" s="157"/>
      <c r="Q239" s="157">
        <f>SUM(Q240:Q255)</f>
        <v>0</v>
      </c>
      <c r="R239" s="158"/>
      <c r="S239" s="158"/>
      <c r="T239" s="158"/>
      <c r="U239" s="158"/>
      <c r="V239" s="158">
        <f>SUM(V240:V255)</f>
        <v>61.660000000000004</v>
      </c>
      <c r="W239" s="158"/>
      <c r="X239" s="158"/>
      <c r="Y239" s="158"/>
      <c r="AG239" t="s">
        <v>137</v>
      </c>
    </row>
    <row r="240" spans="1:60" outlineLevel="1" x14ac:dyDescent="0.25">
      <c r="A240" s="172">
        <v>106</v>
      </c>
      <c r="B240" s="173" t="s">
        <v>512</v>
      </c>
      <c r="C240" s="179" t="s">
        <v>513</v>
      </c>
      <c r="D240" s="174" t="s">
        <v>165</v>
      </c>
      <c r="E240" s="175">
        <v>55.31</v>
      </c>
      <c r="F240" s="176"/>
      <c r="G240" s="177">
        <f>ROUND(E240*F240,2)</f>
        <v>0</v>
      </c>
      <c r="H240" s="156">
        <v>0</v>
      </c>
      <c r="I240" s="155">
        <f>ROUND(E240*H240,2)</f>
        <v>0</v>
      </c>
      <c r="J240" s="156">
        <v>7.8</v>
      </c>
      <c r="K240" s="155">
        <f>ROUND(E240*J240,2)</f>
        <v>431.42</v>
      </c>
      <c r="L240" s="155">
        <v>21</v>
      </c>
      <c r="M240" s="155">
        <f>G240*(1+L240/100)</f>
        <v>0</v>
      </c>
      <c r="N240" s="154">
        <v>0</v>
      </c>
      <c r="O240" s="251">
        <f>ROUND(E240*N240,2)</f>
        <v>0</v>
      </c>
      <c r="P240" s="154">
        <v>0</v>
      </c>
      <c r="Q240" s="154">
        <f>ROUND(E240*P240,2)</f>
        <v>0</v>
      </c>
      <c r="R240" s="155"/>
      <c r="S240" s="155" t="s">
        <v>1198</v>
      </c>
      <c r="T240" s="155" t="s">
        <v>1198</v>
      </c>
      <c r="U240" s="155">
        <v>0.02</v>
      </c>
      <c r="V240" s="155">
        <f>ROUND(E240*U240,2)</f>
        <v>1.1100000000000001</v>
      </c>
      <c r="W240" s="155"/>
      <c r="X240" s="155" t="s">
        <v>143</v>
      </c>
      <c r="Y240" s="155" t="s">
        <v>144</v>
      </c>
      <c r="Z240" s="145"/>
      <c r="AA240" s="145"/>
      <c r="AB240" s="145"/>
      <c r="AC240" s="145"/>
      <c r="AD240" s="145"/>
      <c r="AE240" s="145"/>
      <c r="AF240" s="145"/>
      <c r="AG240" s="145" t="s">
        <v>145</v>
      </c>
      <c r="AH240" s="145"/>
      <c r="AI240" s="145"/>
      <c r="AJ240" s="145"/>
      <c r="AK240" s="145"/>
      <c r="AL240" s="145"/>
      <c r="AM240" s="145"/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  <c r="BA240" s="145"/>
      <c r="BB240" s="145"/>
      <c r="BC240" s="145"/>
      <c r="BD240" s="145"/>
      <c r="BE240" s="145"/>
      <c r="BF240" s="145"/>
      <c r="BG240" s="145"/>
      <c r="BH240" s="145"/>
    </row>
    <row r="241" spans="1:60" outlineLevel="1" x14ac:dyDescent="0.25">
      <c r="A241" s="172">
        <v>107</v>
      </c>
      <c r="B241" s="173" t="s">
        <v>514</v>
      </c>
      <c r="C241" s="179" t="s">
        <v>515</v>
      </c>
      <c r="D241" s="174" t="s">
        <v>165</v>
      </c>
      <c r="E241" s="175">
        <v>55.31</v>
      </c>
      <c r="F241" s="176"/>
      <c r="G241" s="177">
        <f>ROUND(E241*F241,2)</f>
        <v>0</v>
      </c>
      <c r="H241" s="156">
        <v>25.08</v>
      </c>
      <c r="I241" s="155">
        <f>ROUND(E241*H241,2)</f>
        <v>1387.17</v>
      </c>
      <c r="J241" s="156">
        <v>27.22</v>
      </c>
      <c r="K241" s="155">
        <f>ROUND(E241*J241,2)</f>
        <v>1505.54</v>
      </c>
      <c r="L241" s="155">
        <v>21</v>
      </c>
      <c r="M241" s="155">
        <f>G241*(1+L241/100)</f>
        <v>0</v>
      </c>
      <c r="N241" s="154">
        <v>2.1000000000000001E-4</v>
      </c>
      <c r="O241" s="251">
        <f>ROUND(E241*N241,2)</f>
        <v>0.01</v>
      </c>
      <c r="P241" s="154">
        <v>0</v>
      </c>
      <c r="Q241" s="154">
        <f>ROUND(E241*P241,2)</f>
        <v>0</v>
      </c>
      <c r="R241" s="155"/>
      <c r="S241" s="155" t="s">
        <v>1198</v>
      </c>
      <c r="T241" s="155" t="s">
        <v>1198</v>
      </c>
      <c r="U241" s="155">
        <v>0.05</v>
      </c>
      <c r="V241" s="155">
        <f>ROUND(E241*U241,2)</f>
        <v>2.77</v>
      </c>
      <c r="W241" s="155"/>
      <c r="X241" s="155" t="s">
        <v>143</v>
      </c>
      <c r="Y241" s="155" t="s">
        <v>144</v>
      </c>
      <c r="Z241" s="145"/>
      <c r="AA241" s="145"/>
      <c r="AB241" s="145"/>
      <c r="AC241" s="145"/>
      <c r="AD241" s="145"/>
      <c r="AE241" s="145"/>
      <c r="AF241" s="145"/>
      <c r="AG241" s="145" t="s">
        <v>145</v>
      </c>
      <c r="AH241" s="145"/>
      <c r="AI241" s="145"/>
      <c r="AJ241" s="145"/>
      <c r="AK241" s="145"/>
      <c r="AL241" s="145"/>
      <c r="AM241" s="145"/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  <c r="BA241" s="145"/>
      <c r="BB241" s="145"/>
      <c r="BC241" s="145"/>
      <c r="BD241" s="145"/>
      <c r="BE241" s="145"/>
      <c r="BF241" s="145"/>
      <c r="BG241" s="145"/>
      <c r="BH241" s="145"/>
    </row>
    <row r="242" spans="1:60" outlineLevel="1" x14ac:dyDescent="0.25">
      <c r="A242" s="172">
        <v>108</v>
      </c>
      <c r="B242" s="173" t="s">
        <v>516</v>
      </c>
      <c r="C242" s="179" t="s">
        <v>517</v>
      </c>
      <c r="D242" s="174" t="s">
        <v>165</v>
      </c>
      <c r="E242" s="175">
        <v>35.020000000000003</v>
      </c>
      <c r="F242" s="176"/>
      <c r="G242" s="177">
        <f>ROUND(E242*F242,2)</f>
        <v>0</v>
      </c>
      <c r="H242" s="156">
        <v>158.19999999999999</v>
      </c>
      <c r="I242" s="155">
        <f>ROUND(E242*H242,2)</f>
        <v>5540.16</v>
      </c>
      <c r="J242" s="156">
        <v>532.79999999999995</v>
      </c>
      <c r="K242" s="155">
        <f>ROUND(E242*J242,2)</f>
        <v>18658.66</v>
      </c>
      <c r="L242" s="155">
        <v>21</v>
      </c>
      <c r="M242" s="155">
        <f>G242*(1+L242/100)</f>
        <v>0</v>
      </c>
      <c r="N242" s="154">
        <v>5.0400000000000002E-3</v>
      </c>
      <c r="O242" s="251">
        <f>ROUND(E242*N242,2)</f>
        <v>0.18</v>
      </c>
      <c r="P242" s="154">
        <v>0</v>
      </c>
      <c r="Q242" s="154">
        <f>ROUND(E242*P242,2)</f>
        <v>0</v>
      </c>
      <c r="R242" s="155"/>
      <c r="S242" s="155" t="s">
        <v>1198</v>
      </c>
      <c r="T242" s="155" t="s">
        <v>1198</v>
      </c>
      <c r="U242" s="155">
        <v>0.98</v>
      </c>
      <c r="V242" s="155">
        <f>ROUND(E242*U242,2)</f>
        <v>34.32</v>
      </c>
      <c r="W242" s="155"/>
      <c r="X242" s="155" t="s">
        <v>143</v>
      </c>
      <c r="Y242" s="155" t="s">
        <v>144</v>
      </c>
      <c r="Z242" s="145"/>
      <c r="AA242" s="145"/>
      <c r="AB242" s="145"/>
      <c r="AC242" s="145"/>
      <c r="AD242" s="145"/>
      <c r="AE242" s="145"/>
      <c r="AF242" s="145"/>
      <c r="AG242" s="145" t="s">
        <v>145</v>
      </c>
      <c r="AH242" s="145"/>
      <c r="AI242" s="145"/>
      <c r="AJ242" s="145"/>
      <c r="AK242" s="145"/>
      <c r="AL242" s="145"/>
      <c r="AM242" s="145"/>
      <c r="AN242" s="145"/>
      <c r="AO242" s="145"/>
      <c r="AP242" s="145"/>
      <c r="AQ242" s="145"/>
      <c r="AR242" s="145"/>
      <c r="AS242" s="145"/>
      <c r="AT242" s="145"/>
      <c r="AU242" s="145"/>
      <c r="AV242" s="145"/>
      <c r="AW242" s="145"/>
      <c r="AX242" s="145"/>
      <c r="AY242" s="145"/>
      <c r="AZ242" s="145"/>
      <c r="BA242" s="145"/>
      <c r="BB242" s="145"/>
      <c r="BC242" s="145"/>
      <c r="BD242" s="145"/>
      <c r="BE242" s="145"/>
      <c r="BF242" s="145"/>
      <c r="BG242" s="145"/>
      <c r="BH242" s="145"/>
    </row>
    <row r="243" spans="1:60" outlineLevel="1" x14ac:dyDescent="0.25">
      <c r="A243" s="172">
        <v>109</v>
      </c>
      <c r="B243" s="173" t="s">
        <v>518</v>
      </c>
      <c r="C243" s="179" t="s">
        <v>519</v>
      </c>
      <c r="D243" s="174" t="s">
        <v>165</v>
      </c>
      <c r="E243" s="175">
        <v>20.29</v>
      </c>
      <c r="F243" s="176"/>
      <c r="G243" s="177">
        <f>ROUND(E243*F243,2)</f>
        <v>0</v>
      </c>
      <c r="H243" s="156">
        <v>166.83</v>
      </c>
      <c r="I243" s="155">
        <f>ROUND(E243*H243,2)</f>
        <v>3384.98</v>
      </c>
      <c r="J243" s="156">
        <v>566.16999999999996</v>
      </c>
      <c r="K243" s="155">
        <f>ROUND(E243*J243,2)</f>
        <v>11487.59</v>
      </c>
      <c r="L243" s="155">
        <v>21</v>
      </c>
      <c r="M243" s="155">
        <f>G243*(1+L243/100)</f>
        <v>0</v>
      </c>
      <c r="N243" s="154">
        <v>5.1500000000000001E-3</v>
      </c>
      <c r="O243" s="251">
        <f>ROUND(E243*N243,2)</f>
        <v>0.1</v>
      </c>
      <c r="P243" s="154">
        <v>0</v>
      </c>
      <c r="Q243" s="154">
        <f>ROUND(E243*P243,2)</f>
        <v>0</v>
      </c>
      <c r="R243" s="155"/>
      <c r="S243" s="155" t="s">
        <v>1198</v>
      </c>
      <c r="T243" s="155" t="s">
        <v>1198</v>
      </c>
      <c r="U243" s="155">
        <v>1.04</v>
      </c>
      <c r="V243" s="155">
        <f>ROUND(E243*U243,2)</f>
        <v>21.1</v>
      </c>
      <c r="W243" s="155"/>
      <c r="X243" s="155" t="s">
        <v>143</v>
      </c>
      <c r="Y243" s="155" t="s">
        <v>144</v>
      </c>
      <c r="Z243" s="145"/>
      <c r="AA243" s="145"/>
      <c r="AB243" s="145"/>
      <c r="AC243" s="145"/>
      <c r="AD243" s="145"/>
      <c r="AE243" s="145"/>
      <c r="AF243" s="145"/>
      <c r="AG243" s="145" t="s">
        <v>145</v>
      </c>
      <c r="AH243" s="145"/>
      <c r="AI243" s="145"/>
      <c r="AJ243" s="145"/>
      <c r="AK243" s="145"/>
      <c r="AL243" s="145"/>
      <c r="AM243" s="145"/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  <c r="BA243" s="145"/>
      <c r="BB243" s="145"/>
      <c r="BC243" s="145"/>
      <c r="BD243" s="145"/>
      <c r="BE243" s="145"/>
      <c r="BF243" s="145"/>
      <c r="BG243" s="145"/>
      <c r="BH243" s="145"/>
    </row>
    <row r="244" spans="1:60" ht="30.6" outlineLevel="1" x14ac:dyDescent="0.25">
      <c r="A244" s="166">
        <v>110</v>
      </c>
      <c r="B244" s="167" t="s">
        <v>520</v>
      </c>
      <c r="C244" s="180" t="s">
        <v>521</v>
      </c>
      <c r="D244" s="168" t="s">
        <v>165</v>
      </c>
      <c r="E244" s="169">
        <v>38.521999999999998</v>
      </c>
      <c r="F244" s="170"/>
      <c r="G244" s="171">
        <f>ROUND(E244*F244,2)</f>
        <v>0</v>
      </c>
      <c r="H244" s="156">
        <v>797.23</v>
      </c>
      <c r="I244" s="155">
        <f>ROUND(E244*H244,2)</f>
        <v>30710.89</v>
      </c>
      <c r="J244" s="156">
        <v>0</v>
      </c>
      <c r="K244" s="155">
        <f>ROUND(E244*J244,2)</f>
        <v>0</v>
      </c>
      <c r="L244" s="155">
        <v>21</v>
      </c>
      <c r="M244" s="155">
        <f>G244*(1+L244/100)</f>
        <v>0</v>
      </c>
      <c r="N244" s="154">
        <v>1.9199999999999998E-2</v>
      </c>
      <c r="O244" s="251">
        <f>ROUND(E244*N244,2)</f>
        <v>0.74</v>
      </c>
      <c r="P244" s="154">
        <v>0</v>
      </c>
      <c r="Q244" s="154">
        <f>ROUND(E244*P244,2)</f>
        <v>0</v>
      </c>
      <c r="R244" s="155"/>
      <c r="S244" s="155" t="s">
        <v>141</v>
      </c>
      <c r="T244" s="155" t="s">
        <v>142</v>
      </c>
      <c r="U244" s="155">
        <v>0</v>
      </c>
      <c r="V244" s="155">
        <f>ROUND(E244*U244,2)</f>
        <v>0</v>
      </c>
      <c r="W244" s="155"/>
      <c r="X244" s="155" t="s">
        <v>174</v>
      </c>
      <c r="Y244" s="155" t="s">
        <v>144</v>
      </c>
      <c r="Z244" s="145"/>
      <c r="AA244" s="145"/>
      <c r="AB244" s="145"/>
      <c r="AC244" s="145"/>
      <c r="AD244" s="145"/>
      <c r="AE244" s="145"/>
      <c r="AF244" s="145"/>
      <c r="AG244" s="145" t="s">
        <v>175</v>
      </c>
      <c r="AH244" s="145"/>
      <c r="AI244" s="145"/>
      <c r="AJ244" s="145"/>
      <c r="AK244" s="145"/>
      <c r="AL244" s="145"/>
      <c r="AM244" s="145"/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  <c r="BA244" s="145"/>
      <c r="BB244" s="145"/>
      <c r="BC244" s="145"/>
      <c r="BD244" s="145"/>
      <c r="BE244" s="145"/>
      <c r="BF244" s="145"/>
      <c r="BG244" s="145"/>
      <c r="BH244" s="145"/>
    </row>
    <row r="245" spans="1:60" outlineLevel="2" x14ac:dyDescent="0.25">
      <c r="A245" s="152"/>
      <c r="B245" s="153"/>
      <c r="C245" s="186" t="s">
        <v>522</v>
      </c>
      <c r="D245" s="184"/>
      <c r="E245" s="185">
        <v>38.521999999999998</v>
      </c>
      <c r="F245" s="155"/>
      <c r="G245" s="155"/>
      <c r="H245" s="155"/>
      <c r="I245" s="155"/>
      <c r="J245" s="155"/>
      <c r="K245" s="155"/>
      <c r="L245" s="155"/>
      <c r="M245" s="155"/>
      <c r="N245" s="154"/>
      <c r="O245" s="251"/>
      <c r="P245" s="154"/>
      <c r="Q245" s="154"/>
      <c r="R245" s="155"/>
      <c r="S245" s="155"/>
      <c r="T245" s="155"/>
      <c r="U245" s="155"/>
      <c r="V245" s="155"/>
      <c r="W245" s="155"/>
      <c r="X245" s="155"/>
      <c r="Y245" s="155"/>
      <c r="Z245" s="145"/>
      <c r="AA245" s="145"/>
      <c r="AB245" s="145"/>
      <c r="AC245" s="145"/>
      <c r="AD245" s="145"/>
      <c r="AE245" s="145"/>
      <c r="AF245" s="145"/>
      <c r="AG245" s="145" t="s">
        <v>170</v>
      </c>
      <c r="AH245" s="145">
        <v>5</v>
      </c>
      <c r="AI245" s="145"/>
      <c r="AJ245" s="145"/>
      <c r="AK245" s="145"/>
      <c r="AL245" s="145"/>
      <c r="AM245" s="145"/>
      <c r="AN245" s="145"/>
      <c r="AO245" s="145"/>
      <c r="AP245" s="145"/>
      <c r="AQ245" s="145"/>
      <c r="AR245" s="145"/>
      <c r="AS245" s="145"/>
      <c r="AT245" s="145"/>
      <c r="AU245" s="145"/>
      <c r="AV245" s="145"/>
      <c r="AW245" s="145"/>
      <c r="AX245" s="145"/>
      <c r="AY245" s="145"/>
      <c r="AZ245" s="145"/>
      <c r="BA245" s="145"/>
      <c r="BB245" s="145"/>
      <c r="BC245" s="145"/>
      <c r="BD245" s="145"/>
      <c r="BE245" s="145"/>
      <c r="BF245" s="145"/>
      <c r="BG245" s="145"/>
      <c r="BH245" s="145"/>
    </row>
    <row r="246" spans="1:60" ht="30.6" outlineLevel="1" x14ac:dyDescent="0.25">
      <c r="A246" s="166">
        <v>111</v>
      </c>
      <c r="B246" s="167" t="s">
        <v>523</v>
      </c>
      <c r="C246" s="180" t="s">
        <v>524</v>
      </c>
      <c r="D246" s="168" t="s">
        <v>165</v>
      </c>
      <c r="E246" s="169">
        <v>22.318999999999999</v>
      </c>
      <c r="F246" s="170"/>
      <c r="G246" s="171">
        <f>ROUND(E246*F246,2)</f>
        <v>0</v>
      </c>
      <c r="H246" s="156">
        <v>723.87</v>
      </c>
      <c r="I246" s="155">
        <f>ROUND(E246*H246,2)</f>
        <v>16156.05</v>
      </c>
      <c r="J246" s="156">
        <v>0</v>
      </c>
      <c r="K246" s="155">
        <f>ROUND(E246*J246,2)</f>
        <v>0</v>
      </c>
      <c r="L246" s="155">
        <v>21</v>
      </c>
      <c r="M246" s="155">
        <f>G246*(1+L246/100)</f>
        <v>0</v>
      </c>
      <c r="N246" s="154">
        <v>1.9199999999999998E-2</v>
      </c>
      <c r="O246" s="251">
        <f>ROUND(E246*N246,2)</f>
        <v>0.43</v>
      </c>
      <c r="P246" s="154">
        <v>0</v>
      </c>
      <c r="Q246" s="154">
        <f>ROUND(E246*P246,2)</f>
        <v>0</v>
      </c>
      <c r="R246" s="155"/>
      <c r="S246" s="155" t="s">
        <v>141</v>
      </c>
      <c r="T246" s="155" t="s">
        <v>142</v>
      </c>
      <c r="U246" s="155">
        <v>0</v>
      </c>
      <c r="V246" s="155">
        <f>ROUND(E246*U246,2)</f>
        <v>0</v>
      </c>
      <c r="W246" s="155"/>
      <c r="X246" s="155" t="s">
        <v>174</v>
      </c>
      <c r="Y246" s="155" t="s">
        <v>144</v>
      </c>
      <c r="Z246" s="145"/>
      <c r="AA246" s="145"/>
      <c r="AB246" s="145"/>
      <c r="AC246" s="145"/>
      <c r="AD246" s="145"/>
      <c r="AE246" s="145"/>
      <c r="AF246" s="145"/>
      <c r="AG246" s="145" t="s">
        <v>175</v>
      </c>
      <c r="AH246" s="145"/>
      <c r="AI246" s="145"/>
      <c r="AJ246" s="145"/>
      <c r="AK246" s="145"/>
      <c r="AL246" s="145"/>
      <c r="AM246" s="145"/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  <c r="BA246" s="145"/>
      <c r="BB246" s="145"/>
      <c r="BC246" s="145"/>
      <c r="BD246" s="145"/>
      <c r="BE246" s="145"/>
      <c r="BF246" s="145"/>
      <c r="BG246" s="145"/>
      <c r="BH246" s="145"/>
    </row>
    <row r="247" spans="1:60" outlineLevel="2" x14ac:dyDescent="0.25">
      <c r="A247" s="152"/>
      <c r="B247" s="153"/>
      <c r="C247" s="186" t="s">
        <v>525</v>
      </c>
      <c r="D247" s="184"/>
      <c r="E247" s="185">
        <v>22.318999999999999</v>
      </c>
      <c r="F247" s="155"/>
      <c r="G247" s="155"/>
      <c r="H247" s="155"/>
      <c r="I247" s="155"/>
      <c r="J247" s="155"/>
      <c r="K247" s="155"/>
      <c r="L247" s="155"/>
      <c r="M247" s="155"/>
      <c r="N247" s="154"/>
      <c r="O247" s="251"/>
      <c r="P247" s="154"/>
      <c r="Q247" s="154"/>
      <c r="R247" s="155"/>
      <c r="S247" s="155"/>
      <c r="T247" s="155"/>
      <c r="U247" s="155"/>
      <c r="V247" s="155"/>
      <c r="W247" s="155"/>
      <c r="X247" s="155"/>
      <c r="Y247" s="155"/>
      <c r="Z247" s="145"/>
      <c r="AA247" s="145"/>
      <c r="AB247" s="145"/>
      <c r="AC247" s="145"/>
      <c r="AD247" s="145"/>
      <c r="AE247" s="145"/>
      <c r="AF247" s="145"/>
      <c r="AG247" s="145" t="s">
        <v>170</v>
      </c>
      <c r="AH247" s="145">
        <v>5</v>
      </c>
      <c r="AI247" s="145"/>
      <c r="AJ247" s="145"/>
      <c r="AK247" s="145"/>
      <c r="AL247" s="145"/>
      <c r="AM247" s="145"/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  <c r="BA247" s="145"/>
      <c r="BB247" s="145"/>
      <c r="BC247" s="145"/>
      <c r="BD247" s="145"/>
      <c r="BE247" s="145"/>
      <c r="BF247" s="145"/>
      <c r="BG247" s="145"/>
      <c r="BH247" s="145"/>
    </row>
    <row r="248" spans="1:60" ht="20.399999999999999" outlineLevel="1" x14ac:dyDescent="0.25">
      <c r="A248" s="172">
        <v>112</v>
      </c>
      <c r="B248" s="173" t="s">
        <v>526</v>
      </c>
      <c r="C248" s="179" t="s">
        <v>527</v>
      </c>
      <c r="D248" s="174" t="s">
        <v>165</v>
      </c>
      <c r="E248" s="175">
        <v>55.31</v>
      </c>
      <c r="F248" s="176"/>
      <c r="G248" s="177">
        <f>ROUND(E248*F248,2)</f>
        <v>0</v>
      </c>
      <c r="H248" s="156">
        <v>7.4</v>
      </c>
      <c r="I248" s="155">
        <f>ROUND(E248*H248,2)</f>
        <v>409.29</v>
      </c>
      <c r="J248" s="156">
        <v>0</v>
      </c>
      <c r="K248" s="155">
        <f>ROUND(E248*J248,2)</f>
        <v>0</v>
      </c>
      <c r="L248" s="155">
        <v>21</v>
      </c>
      <c r="M248" s="155">
        <f>G248*(1+L248/100)</f>
        <v>0</v>
      </c>
      <c r="N248" s="154">
        <v>2.9999999999999997E-4</v>
      </c>
      <c r="O248" s="251">
        <f>ROUND(E248*N248,2)</f>
        <v>0.02</v>
      </c>
      <c r="P248" s="154">
        <v>0</v>
      </c>
      <c r="Q248" s="154">
        <f>ROUND(E248*P248,2)</f>
        <v>0</v>
      </c>
      <c r="R248" s="155"/>
      <c r="S248" s="155" t="s">
        <v>1198</v>
      </c>
      <c r="T248" s="155" t="s">
        <v>1198</v>
      </c>
      <c r="U248" s="155">
        <v>0</v>
      </c>
      <c r="V248" s="155">
        <f>ROUND(E248*U248,2)</f>
        <v>0</v>
      </c>
      <c r="W248" s="155"/>
      <c r="X248" s="155" t="s">
        <v>143</v>
      </c>
      <c r="Y248" s="155" t="s">
        <v>144</v>
      </c>
      <c r="Z248" s="145"/>
      <c r="AA248" s="145"/>
      <c r="AB248" s="145"/>
      <c r="AC248" s="145"/>
      <c r="AD248" s="145"/>
      <c r="AE248" s="145"/>
      <c r="AF248" s="145"/>
      <c r="AG248" s="145" t="s">
        <v>145</v>
      </c>
      <c r="AH248" s="145"/>
      <c r="AI248" s="145"/>
      <c r="AJ248" s="145"/>
      <c r="AK248" s="145"/>
      <c r="AL248" s="145"/>
      <c r="AM248" s="145"/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  <c r="BA248" s="145"/>
      <c r="BB248" s="145"/>
      <c r="BC248" s="145"/>
      <c r="BD248" s="145"/>
      <c r="BE248" s="145"/>
      <c r="BF248" s="145"/>
      <c r="BG248" s="145"/>
      <c r="BH248" s="145"/>
    </row>
    <row r="249" spans="1:60" outlineLevel="1" x14ac:dyDescent="0.25">
      <c r="A249" s="166">
        <v>113</v>
      </c>
      <c r="B249" s="167" t="s">
        <v>528</v>
      </c>
      <c r="C249" s="180" t="s">
        <v>529</v>
      </c>
      <c r="D249" s="168" t="s">
        <v>267</v>
      </c>
      <c r="E249" s="169">
        <v>1.4773499999999999</v>
      </c>
      <c r="F249" s="170"/>
      <c r="G249" s="171">
        <f>ROUND(E249*F249,2)</f>
        <v>0</v>
      </c>
      <c r="H249" s="156">
        <v>0</v>
      </c>
      <c r="I249" s="155">
        <f>ROUND(E249*H249,2)</f>
        <v>0</v>
      </c>
      <c r="J249" s="156">
        <v>688</v>
      </c>
      <c r="K249" s="155">
        <f>ROUND(E249*J249,2)</f>
        <v>1016.42</v>
      </c>
      <c r="L249" s="155">
        <v>21</v>
      </c>
      <c r="M249" s="155">
        <f>G249*(1+L249/100)</f>
        <v>0</v>
      </c>
      <c r="N249" s="154">
        <v>0</v>
      </c>
      <c r="O249" s="251">
        <f>ROUND(E249*N249,2)</f>
        <v>0</v>
      </c>
      <c r="P249" s="154">
        <v>0</v>
      </c>
      <c r="Q249" s="154">
        <f>ROUND(E249*P249,2)</f>
        <v>0</v>
      </c>
      <c r="R249" s="155"/>
      <c r="S249" s="155" t="s">
        <v>1198</v>
      </c>
      <c r="T249" s="155" t="s">
        <v>1198</v>
      </c>
      <c r="U249" s="155">
        <v>1.6</v>
      </c>
      <c r="V249" s="155">
        <f>ROUND(E249*U249,2)</f>
        <v>2.36</v>
      </c>
      <c r="W249" s="155"/>
      <c r="X249" s="155" t="s">
        <v>143</v>
      </c>
      <c r="Y249" s="155" t="s">
        <v>144</v>
      </c>
      <c r="Z249" s="145"/>
      <c r="AA249" s="145"/>
      <c r="AB249" s="145"/>
      <c r="AC249" s="145"/>
      <c r="AD249" s="145"/>
      <c r="AE249" s="145"/>
      <c r="AF249" s="145"/>
      <c r="AG249" s="145" t="s">
        <v>145</v>
      </c>
      <c r="AH249" s="145"/>
      <c r="AI249" s="145"/>
      <c r="AJ249" s="145"/>
      <c r="AK249" s="145"/>
      <c r="AL249" s="145"/>
      <c r="AM249" s="145"/>
      <c r="AN249" s="145"/>
      <c r="AO249" s="145"/>
      <c r="AP249" s="145"/>
      <c r="AQ249" s="145"/>
      <c r="AR249" s="145"/>
      <c r="AS249" s="145"/>
      <c r="AT249" s="145"/>
      <c r="AU249" s="145"/>
      <c r="AV249" s="145"/>
      <c r="AW249" s="145"/>
      <c r="AX249" s="145"/>
      <c r="AY249" s="145"/>
      <c r="AZ249" s="145"/>
      <c r="BA249" s="145"/>
      <c r="BB249" s="145"/>
      <c r="BC249" s="145"/>
      <c r="BD249" s="145"/>
      <c r="BE249" s="145"/>
      <c r="BF249" s="145"/>
      <c r="BG249" s="145"/>
      <c r="BH249" s="145"/>
    </row>
    <row r="250" spans="1:60" outlineLevel="3" x14ac:dyDescent="0.25">
      <c r="A250" s="152"/>
      <c r="B250" s="153"/>
      <c r="C250" s="186" t="s">
        <v>530</v>
      </c>
      <c r="D250" s="184"/>
      <c r="E250" s="185">
        <v>1.162E-2</v>
      </c>
      <c r="F250" s="155"/>
      <c r="G250" s="155"/>
      <c r="H250" s="155"/>
      <c r="I250" s="155"/>
      <c r="J250" s="155"/>
      <c r="K250" s="155"/>
      <c r="L250" s="155"/>
      <c r="M250" s="155"/>
      <c r="N250" s="154"/>
      <c r="O250" s="251"/>
      <c r="P250" s="154"/>
      <c r="Q250" s="154"/>
      <c r="R250" s="155"/>
      <c r="S250" s="155"/>
      <c r="T250" s="155"/>
      <c r="U250" s="155"/>
      <c r="V250" s="155"/>
      <c r="W250" s="155"/>
      <c r="X250" s="155"/>
      <c r="Y250" s="155"/>
      <c r="Z250" s="145"/>
      <c r="AA250" s="145"/>
      <c r="AB250" s="145"/>
      <c r="AC250" s="145"/>
      <c r="AD250" s="145"/>
      <c r="AE250" s="145"/>
      <c r="AF250" s="145"/>
      <c r="AG250" s="145" t="s">
        <v>170</v>
      </c>
      <c r="AH250" s="145">
        <v>6</v>
      </c>
      <c r="AI250" s="145"/>
      <c r="AJ250" s="145"/>
      <c r="AK250" s="145"/>
      <c r="AL250" s="145"/>
      <c r="AM250" s="145"/>
      <c r="AN250" s="145"/>
      <c r="AO250" s="145"/>
      <c r="AP250" s="145"/>
      <c r="AQ250" s="145"/>
      <c r="AR250" s="145"/>
      <c r="AS250" s="145"/>
      <c r="AT250" s="145"/>
      <c r="AU250" s="145"/>
      <c r="AV250" s="145"/>
      <c r="AW250" s="145"/>
      <c r="AX250" s="145"/>
      <c r="AY250" s="145"/>
      <c r="AZ250" s="145"/>
      <c r="BA250" s="145"/>
      <c r="BB250" s="145"/>
      <c r="BC250" s="145"/>
      <c r="BD250" s="145"/>
      <c r="BE250" s="145"/>
      <c r="BF250" s="145"/>
      <c r="BG250" s="145"/>
      <c r="BH250" s="145"/>
    </row>
    <row r="251" spans="1:60" outlineLevel="3" x14ac:dyDescent="0.25">
      <c r="A251" s="152"/>
      <c r="B251" s="153"/>
      <c r="C251" s="186" t="s">
        <v>531</v>
      </c>
      <c r="D251" s="184"/>
      <c r="E251" s="185">
        <v>0.17649999999999999</v>
      </c>
      <c r="F251" s="155"/>
      <c r="G251" s="155"/>
      <c r="H251" s="155"/>
      <c r="I251" s="155"/>
      <c r="J251" s="155"/>
      <c r="K251" s="155"/>
      <c r="L251" s="155"/>
      <c r="M251" s="155"/>
      <c r="N251" s="154"/>
      <c r="O251" s="251"/>
      <c r="P251" s="154"/>
      <c r="Q251" s="154"/>
      <c r="R251" s="155"/>
      <c r="S251" s="155"/>
      <c r="T251" s="155"/>
      <c r="U251" s="155"/>
      <c r="V251" s="155"/>
      <c r="W251" s="155"/>
      <c r="X251" s="155"/>
      <c r="Y251" s="155"/>
      <c r="Z251" s="145"/>
      <c r="AA251" s="145"/>
      <c r="AB251" s="145"/>
      <c r="AC251" s="145"/>
      <c r="AD251" s="145"/>
      <c r="AE251" s="145"/>
      <c r="AF251" s="145"/>
      <c r="AG251" s="145" t="s">
        <v>170</v>
      </c>
      <c r="AH251" s="145">
        <v>6</v>
      </c>
      <c r="AI251" s="145"/>
      <c r="AJ251" s="145"/>
      <c r="AK251" s="145"/>
      <c r="AL251" s="145"/>
      <c r="AM251" s="145"/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  <c r="BA251" s="145"/>
      <c r="BB251" s="145"/>
      <c r="BC251" s="145"/>
      <c r="BD251" s="145"/>
      <c r="BE251" s="145"/>
      <c r="BF251" s="145"/>
      <c r="BG251" s="145"/>
      <c r="BH251" s="145"/>
    </row>
    <row r="252" spans="1:60" outlineLevel="3" x14ac:dyDescent="0.25">
      <c r="A252" s="152"/>
      <c r="B252" s="153"/>
      <c r="C252" s="186" t="s">
        <v>532</v>
      </c>
      <c r="D252" s="184"/>
      <c r="E252" s="185">
        <v>0.10449</v>
      </c>
      <c r="F252" s="155"/>
      <c r="G252" s="155"/>
      <c r="H252" s="155"/>
      <c r="I252" s="155"/>
      <c r="J252" s="155"/>
      <c r="K252" s="155"/>
      <c r="L252" s="155"/>
      <c r="M252" s="155"/>
      <c r="N252" s="154"/>
      <c r="O252" s="251"/>
      <c r="P252" s="154"/>
      <c r="Q252" s="154"/>
      <c r="R252" s="155"/>
      <c r="S252" s="155"/>
      <c r="T252" s="155"/>
      <c r="U252" s="155"/>
      <c r="V252" s="155"/>
      <c r="W252" s="155"/>
      <c r="X252" s="155"/>
      <c r="Y252" s="155"/>
      <c r="Z252" s="145"/>
      <c r="AA252" s="145"/>
      <c r="AB252" s="145"/>
      <c r="AC252" s="145"/>
      <c r="AD252" s="145"/>
      <c r="AE252" s="145"/>
      <c r="AF252" s="145"/>
      <c r="AG252" s="145" t="s">
        <v>170</v>
      </c>
      <c r="AH252" s="145">
        <v>6</v>
      </c>
      <c r="AI252" s="145"/>
      <c r="AJ252" s="145"/>
      <c r="AK252" s="145"/>
      <c r="AL252" s="145"/>
      <c r="AM252" s="145"/>
      <c r="AN252" s="145"/>
      <c r="AO252" s="145"/>
      <c r="AP252" s="145"/>
      <c r="AQ252" s="145"/>
      <c r="AR252" s="145"/>
      <c r="AS252" s="145"/>
      <c r="AT252" s="145"/>
      <c r="AU252" s="145"/>
      <c r="AV252" s="145"/>
      <c r="AW252" s="145"/>
      <c r="AX252" s="145"/>
      <c r="AY252" s="145"/>
      <c r="AZ252" s="145"/>
      <c r="BA252" s="145"/>
      <c r="BB252" s="145"/>
      <c r="BC252" s="145"/>
      <c r="BD252" s="145"/>
      <c r="BE252" s="145"/>
      <c r="BF252" s="145"/>
      <c r="BG252" s="145"/>
      <c r="BH252" s="145"/>
    </row>
    <row r="253" spans="1:60" outlineLevel="3" x14ac:dyDescent="0.25">
      <c r="A253" s="152"/>
      <c r="B253" s="153"/>
      <c r="C253" s="186" t="s">
        <v>533</v>
      </c>
      <c r="D253" s="184"/>
      <c r="E253" s="185">
        <v>0.73962000000000006</v>
      </c>
      <c r="F253" s="155"/>
      <c r="G253" s="155"/>
      <c r="H253" s="155"/>
      <c r="I253" s="155"/>
      <c r="J253" s="155"/>
      <c r="K253" s="155"/>
      <c r="L253" s="155"/>
      <c r="M253" s="155"/>
      <c r="N253" s="154"/>
      <c r="O253" s="251"/>
      <c r="P253" s="154"/>
      <c r="Q253" s="154"/>
      <c r="R253" s="155"/>
      <c r="S253" s="155"/>
      <c r="T253" s="155"/>
      <c r="U253" s="155"/>
      <c r="V253" s="155"/>
      <c r="W253" s="155"/>
      <c r="X253" s="155"/>
      <c r="Y253" s="155"/>
      <c r="Z253" s="145"/>
      <c r="AA253" s="145"/>
      <c r="AB253" s="145"/>
      <c r="AC253" s="145"/>
      <c r="AD253" s="145"/>
      <c r="AE253" s="145"/>
      <c r="AF253" s="145"/>
      <c r="AG253" s="145" t="s">
        <v>170</v>
      </c>
      <c r="AH253" s="145">
        <v>6</v>
      </c>
      <c r="AI253" s="145"/>
      <c r="AJ253" s="145"/>
      <c r="AK253" s="145"/>
      <c r="AL253" s="145"/>
      <c r="AM253" s="145"/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  <c r="BA253" s="145"/>
      <c r="BB253" s="145"/>
      <c r="BC253" s="145"/>
      <c r="BD253" s="145"/>
      <c r="BE253" s="145"/>
      <c r="BF253" s="145"/>
      <c r="BG253" s="145"/>
      <c r="BH253" s="145"/>
    </row>
    <row r="254" spans="1:60" outlineLevel="3" x14ac:dyDescent="0.25">
      <c r="A254" s="152"/>
      <c r="B254" s="153"/>
      <c r="C254" s="186" t="s">
        <v>534</v>
      </c>
      <c r="D254" s="184"/>
      <c r="E254" s="185">
        <v>0.42852000000000001</v>
      </c>
      <c r="F254" s="155"/>
      <c r="G254" s="155"/>
      <c r="H254" s="155"/>
      <c r="I254" s="155"/>
      <c r="J254" s="155"/>
      <c r="K254" s="155"/>
      <c r="L254" s="155"/>
      <c r="M254" s="155"/>
      <c r="N254" s="154"/>
      <c r="O254" s="251"/>
      <c r="P254" s="154"/>
      <c r="Q254" s="154"/>
      <c r="R254" s="155"/>
      <c r="S254" s="155"/>
      <c r="T254" s="155"/>
      <c r="U254" s="155"/>
      <c r="V254" s="155"/>
      <c r="W254" s="155"/>
      <c r="X254" s="155"/>
      <c r="Y254" s="155"/>
      <c r="Z254" s="145"/>
      <c r="AA254" s="145"/>
      <c r="AB254" s="145"/>
      <c r="AC254" s="145"/>
      <c r="AD254" s="145"/>
      <c r="AE254" s="145"/>
      <c r="AF254" s="145"/>
      <c r="AG254" s="145" t="s">
        <v>170</v>
      </c>
      <c r="AH254" s="145">
        <v>6</v>
      </c>
      <c r="AI254" s="145"/>
      <c r="AJ254" s="145"/>
      <c r="AK254" s="145"/>
      <c r="AL254" s="145"/>
      <c r="AM254" s="145"/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  <c r="BA254" s="145"/>
      <c r="BB254" s="145"/>
      <c r="BC254" s="145"/>
      <c r="BD254" s="145"/>
      <c r="BE254" s="145"/>
      <c r="BF254" s="145"/>
      <c r="BG254" s="145"/>
      <c r="BH254" s="145"/>
    </row>
    <row r="255" spans="1:60" outlineLevel="3" x14ac:dyDescent="0.25">
      <c r="A255" s="152"/>
      <c r="B255" s="153"/>
      <c r="C255" s="186" t="s">
        <v>535</v>
      </c>
      <c r="D255" s="184"/>
      <c r="E255" s="185">
        <v>1.6590000000000001E-2</v>
      </c>
      <c r="F255" s="155"/>
      <c r="G255" s="155"/>
      <c r="H255" s="155"/>
      <c r="I255" s="155"/>
      <c r="J255" s="155"/>
      <c r="K255" s="155"/>
      <c r="L255" s="155"/>
      <c r="M255" s="155"/>
      <c r="N255" s="154"/>
      <c r="O255" s="251"/>
      <c r="P255" s="154"/>
      <c r="Q255" s="154"/>
      <c r="R255" s="155"/>
      <c r="S255" s="155"/>
      <c r="T255" s="155"/>
      <c r="U255" s="155"/>
      <c r="V255" s="155"/>
      <c r="W255" s="155"/>
      <c r="X255" s="155"/>
      <c r="Y255" s="155"/>
      <c r="Z255" s="145"/>
      <c r="AA255" s="145"/>
      <c r="AB255" s="145"/>
      <c r="AC255" s="145"/>
      <c r="AD255" s="145"/>
      <c r="AE255" s="145"/>
      <c r="AF255" s="145"/>
      <c r="AG255" s="145" t="s">
        <v>170</v>
      </c>
      <c r="AH255" s="145">
        <v>6</v>
      </c>
      <c r="AI255" s="145"/>
      <c r="AJ255" s="145"/>
      <c r="AK255" s="145"/>
      <c r="AL255" s="145"/>
      <c r="AM255" s="145"/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  <c r="BA255" s="145"/>
      <c r="BB255" s="145"/>
      <c r="BC255" s="145"/>
      <c r="BD255" s="145"/>
      <c r="BE255" s="145"/>
      <c r="BF255" s="145"/>
      <c r="BG255" s="145"/>
      <c r="BH255" s="145"/>
    </row>
    <row r="256" spans="1:60" x14ac:dyDescent="0.25">
      <c r="A256" s="159" t="s">
        <v>136</v>
      </c>
      <c r="B256" s="160" t="s">
        <v>100</v>
      </c>
      <c r="C256" s="178" t="s">
        <v>101</v>
      </c>
      <c r="D256" s="161"/>
      <c r="E256" s="162"/>
      <c r="F256" s="163"/>
      <c r="G256" s="164">
        <f>SUMIF(AG257:AG277,"&lt;&gt;NOR",G257:G277)</f>
        <v>0</v>
      </c>
      <c r="H256" s="158"/>
      <c r="I256" s="158">
        <f>SUM(I257:I277)</f>
        <v>38841.42</v>
      </c>
      <c r="J256" s="158"/>
      <c r="K256" s="158">
        <f>SUM(K257:K277)</f>
        <v>145875.76</v>
      </c>
      <c r="L256" s="158"/>
      <c r="M256" s="158">
        <f>SUM(M257:M277)</f>
        <v>0</v>
      </c>
      <c r="N256" s="157"/>
      <c r="O256" s="252">
        <f>SUM(O257:O277)</f>
        <v>3.4299999999999997</v>
      </c>
      <c r="P256" s="157"/>
      <c r="Q256" s="157">
        <f>SUM(Q257:Q277)</f>
        <v>0</v>
      </c>
      <c r="R256" s="158"/>
      <c r="S256" s="158"/>
      <c r="T256" s="158"/>
      <c r="U256" s="158"/>
      <c r="V256" s="158">
        <f>SUM(V257:V277)</f>
        <v>162.57</v>
      </c>
      <c r="W256" s="158"/>
      <c r="X256" s="158"/>
      <c r="Y256" s="158"/>
      <c r="AG256" t="s">
        <v>137</v>
      </c>
    </row>
    <row r="257" spans="1:60" outlineLevel="1" x14ac:dyDescent="0.25">
      <c r="A257" s="166">
        <v>114</v>
      </c>
      <c r="B257" s="167" t="s">
        <v>536</v>
      </c>
      <c r="C257" s="180" t="s">
        <v>537</v>
      </c>
      <c r="D257" s="168" t="s">
        <v>165</v>
      </c>
      <c r="E257" s="169">
        <v>121.102</v>
      </c>
      <c r="F257" s="170"/>
      <c r="G257" s="171">
        <f>ROUND(E257*F257,2)</f>
        <v>0</v>
      </c>
      <c r="H257" s="156">
        <v>25.08</v>
      </c>
      <c r="I257" s="155">
        <f>ROUND(E257*H257,2)</f>
        <v>3037.24</v>
      </c>
      <c r="J257" s="156">
        <v>27.22</v>
      </c>
      <c r="K257" s="155">
        <f>ROUND(E257*J257,2)</f>
        <v>3296.4</v>
      </c>
      <c r="L257" s="155">
        <v>21</v>
      </c>
      <c r="M257" s="155">
        <f>G257*(1+L257/100)</f>
        <v>0</v>
      </c>
      <c r="N257" s="154">
        <v>2.1000000000000001E-4</v>
      </c>
      <c r="O257" s="251">
        <f>ROUND(E257*N257,2)</f>
        <v>0.03</v>
      </c>
      <c r="P257" s="154">
        <v>0</v>
      </c>
      <c r="Q257" s="154">
        <f>ROUND(E257*P257,2)</f>
        <v>0</v>
      </c>
      <c r="R257" s="155"/>
      <c r="S257" s="155" t="s">
        <v>1198</v>
      </c>
      <c r="T257" s="155" t="s">
        <v>1198</v>
      </c>
      <c r="U257" s="155">
        <v>0.05</v>
      </c>
      <c r="V257" s="155">
        <f>ROUND(E257*U257,2)</f>
        <v>6.06</v>
      </c>
      <c r="W257" s="155"/>
      <c r="X257" s="155" t="s">
        <v>143</v>
      </c>
      <c r="Y257" s="155" t="s">
        <v>144</v>
      </c>
      <c r="Z257" s="145"/>
      <c r="AA257" s="145"/>
      <c r="AB257" s="145"/>
      <c r="AC257" s="145"/>
      <c r="AD257" s="145"/>
      <c r="AE257" s="145"/>
      <c r="AF257" s="145"/>
      <c r="AG257" s="145" t="s">
        <v>145</v>
      </c>
      <c r="AH257" s="145"/>
      <c r="AI257" s="145"/>
      <c r="AJ257" s="145"/>
      <c r="AK257" s="145"/>
      <c r="AL257" s="145"/>
      <c r="AM257" s="145"/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  <c r="BA257" s="145"/>
      <c r="BB257" s="145"/>
      <c r="BC257" s="145"/>
      <c r="BD257" s="145"/>
      <c r="BE257" s="145"/>
      <c r="BF257" s="145"/>
      <c r="BG257" s="145"/>
      <c r="BH257" s="145"/>
    </row>
    <row r="258" spans="1:60" outlineLevel="2" x14ac:dyDescent="0.25">
      <c r="A258" s="152"/>
      <c r="B258" s="153"/>
      <c r="C258" s="574" t="s">
        <v>538</v>
      </c>
      <c r="D258" s="575"/>
      <c r="E258" s="575"/>
      <c r="F258" s="575"/>
      <c r="G258" s="575"/>
      <c r="H258" s="155"/>
      <c r="I258" s="155"/>
      <c r="J258" s="155"/>
      <c r="K258" s="155"/>
      <c r="L258" s="155"/>
      <c r="M258" s="155"/>
      <c r="N258" s="154"/>
      <c r="O258" s="251"/>
      <c r="P258" s="154"/>
      <c r="Q258" s="154"/>
      <c r="R258" s="155"/>
      <c r="S258" s="155"/>
      <c r="T258" s="155"/>
      <c r="U258" s="155"/>
      <c r="V258" s="155"/>
      <c r="W258" s="155"/>
      <c r="X258" s="155"/>
      <c r="Y258" s="155"/>
      <c r="Z258" s="145"/>
      <c r="AA258" s="145"/>
      <c r="AB258" s="145"/>
      <c r="AC258" s="145"/>
      <c r="AD258" s="145"/>
      <c r="AE258" s="145"/>
      <c r="AF258" s="145"/>
      <c r="AG258" s="145" t="s">
        <v>168</v>
      </c>
      <c r="AH258" s="145"/>
      <c r="AI258" s="145"/>
      <c r="AJ258" s="145"/>
      <c r="AK258" s="145"/>
      <c r="AL258" s="145"/>
      <c r="AM258" s="145"/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  <c r="BA258" s="145"/>
      <c r="BB258" s="145"/>
      <c r="BC258" s="145"/>
      <c r="BD258" s="145"/>
      <c r="BE258" s="145"/>
      <c r="BF258" s="145"/>
      <c r="BG258" s="145"/>
      <c r="BH258" s="145"/>
    </row>
    <row r="259" spans="1:60" outlineLevel="2" x14ac:dyDescent="0.25">
      <c r="A259" s="152"/>
      <c r="B259" s="153"/>
      <c r="C259" s="186" t="s">
        <v>539</v>
      </c>
      <c r="D259" s="184"/>
      <c r="E259" s="185">
        <v>23.562000000000001</v>
      </c>
      <c r="F259" s="155"/>
      <c r="G259" s="155"/>
      <c r="H259" s="155"/>
      <c r="I259" s="155"/>
      <c r="J259" s="155"/>
      <c r="K259" s="155"/>
      <c r="L259" s="155"/>
      <c r="M259" s="155"/>
      <c r="N259" s="154"/>
      <c r="O259" s="251"/>
      <c r="P259" s="154"/>
      <c r="Q259" s="154"/>
      <c r="R259" s="155"/>
      <c r="S259" s="155"/>
      <c r="T259" s="155"/>
      <c r="U259" s="155"/>
      <c r="V259" s="155"/>
      <c r="W259" s="155"/>
      <c r="X259" s="155"/>
      <c r="Y259" s="155"/>
      <c r="Z259" s="145"/>
      <c r="AA259" s="145"/>
      <c r="AB259" s="145"/>
      <c r="AC259" s="145"/>
      <c r="AD259" s="145"/>
      <c r="AE259" s="145"/>
      <c r="AF259" s="145"/>
      <c r="AG259" s="145" t="s">
        <v>170</v>
      </c>
      <c r="AH259" s="145">
        <v>5</v>
      </c>
      <c r="AI259" s="145"/>
      <c r="AJ259" s="145"/>
      <c r="AK259" s="145"/>
      <c r="AL259" s="145"/>
      <c r="AM259" s="145"/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  <c r="BA259" s="145"/>
      <c r="BB259" s="145"/>
      <c r="BC259" s="145"/>
      <c r="BD259" s="145"/>
      <c r="BE259" s="145"/>
      <c r="BF259" s="145"/>
      <c r="BG259" s="145"/>
      <c r="BH259" s="145"/>
    </row>
    <row r="260" spans="1:60" outlineLevel="3" x14ac:dyDescent="0.25">
      <c r="A260" s="152"/>
      <c r="B260" s="153"/>
      <c r="C260" s="186" t="s">
        <v>540</v>
      </c>
      <c r="D260" s="184"/>
      <c r="E260" s="185">
        <v>97.54</v>
      </c>
      <c r="F260" s="155"/>
      <c r="G260" s="155"/>
      <c r="H260" s="155"/>
      <c r="I260" s="155"/>
      <c r="J260" s="155"/>
      <c r="K260" s="155"/>
      <c r="L260" s="155"/>
      <c r="M260" s="155"/>
      <c r="N260" s="154"/>
      <c r="O260" s="251"/>
      <c r="P260" s="154"/>
      <c r="Q260" s="154"/>
      <c r="R260" s="155"/>
      <c r="S260" s="155"/>
      <c r="T260" s="155"/>
      <c r="U260" s="155"/>
      <c r="V260" s="155"/>
      <c r="W260" s="155"/>
      <c r="X260" s="155"/>
      <c r="Y260" s="155"/>
      <c r="Z260" s="145"/>
      <c r="AA260" s="145"/>
      <c r="AB260" s="145"/>
      <c r="AC260" s="145"/>
      <c r="AD260" s="145"/>
      <c r="AE260" s="145"/>
      <c r="AF260" s="145"/>
      <c r="AG260" s="145" t="s">
        <v>170</v>
      </c>
      <c r="AH260" s="145">
        <v>5</v>
      </c>
      <c r="AI260" s="145"/>
      <c r="AJ260" s="145"/>
      <c r="AK260" s="145"/>
      <c r="AL260" s="145"/>
      <c r="AM260" s="145"/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  <c r="BA260" s="145"/>
      <c r="BB260" s="145"/>
      <c r="BC260" s="145"/>
      <c r="BD260" s="145"/>
      <c r="BE260" s="145"/>
      <c r="BF260" s="145"/>
      <c r="BG260" s="145"/>
      <c r="BH260" s="145"/>
    </row>
    <row r="261" spans="1:60" outlineLevel="1" x14ac:dyDescent="0.25">
      <c r="A261" s="166">
        <v>115</v>
      </c>
      <c r="B261" s="167" t="s">
        <v>541</v>
      </c>
      <c r="C261" s="180" t="s">
        <v>542</v>
      </c>
      <c r="D261" s="168" t="s">
        <v>165</v>
      </c>
      <c r="E261" s="169">
        <v>23.562000000000001</v>
      </c>
      <c r="F261" s="170"/>
      <c r="G261" s="171">
        <f>ROUND(E261*F261,2)</f>
        <v>0</v>
      </c>
      <c r="H261" s="156">
        <v>122.91</v>
      </c>
      <c r="I261" s="155">
        <f>ROUND(E261*H261,2)</f>
        <v>2896.01</v>
      </c>
      <c r="J261" s="156">
        <v>589.09</v>
      </c>
      <c r="K261" s="155">
        <f>ROUND(E261*J261,2)</f>
        <v>13880.14</v>
      </c>
      <c r="L261" s="155">
        <v>21</v>
      </c>
      <c r="M261" s="155">
        <f>G261*(1+L261/100)</f>
        <v>0</v>
      </c>
      <c r="N261" s="154">
        <v>5.0299999999999997E-3</v>
      </c>
      <c r="O261" s="251">
        <f>ROUND(E261*N261,2)</f>
        <v>0.12</v>
      </c>
      <c r="P261" s="154">
        <v>0</v>
      </c>
      <c r="Q261" s="154">
        <f>ROUND(E261*P261,2)</f>
        <v>0</v>
      </c>
      <c r="R261" s="155"/>
      <c r="S261" s="155" t="s">
        <v>1198</v>
      </c>
      <c r="T261" s="155" t="s">
        <v>1198</v>
      </c>
      <c r="U261" s="155">
        <v>1.07</v>
      </c>
      <c r="V261" s="155">
        <f>ROUND(E261*U261,2)</f>
        <v>25.21</v>
      </c>
      <c r="W261" s="155"/>
      <c r="X261" s="155" t="s">
        <v>143</v>
      </c>
      <c r="Y261" s="155" t="s">
        <v>144</v>
      </c>
      <c r="Z261" s="145"/>
      <c r="AA261" s="145"/>
      <c r="AB261" s="145"/>
      <c r="AC261" s="145"/>
      <c r="AD261" s="145"/>
      <c r="AE261" s="145"/>
      <c r="AF261" s="145"/>
      <c r="AG261" s="145" t="s">
        <v>145</v>
      </c>
      <c r="AH261" s="145"/>
      <c r="AI261" s="145"/>
      <c r="AJ261" s="145"/>
      <c r="AK261" s="145"/>
      <c r="AL261" s="145"/>
      <c r="AM261" s="145"/>
      <c r="AN261" s="145"/>
      <c r="AO261" s="145"/>
      <c r="AP261" s="145"/>
      <c r="AQ261" s="145"/>
      <c r="AR261" s="145"/>
      <c r="AS261" s="145"/>
      <c r="AT261" s="145"/>
      <c r="AU261" s="145"/>
      <c r="AV261" s="145"/>
      <c r="AW261" s="145"/>
      <c r="AX261" s="145"/>
      <c r="AY261" s="145"/>
      <c r="AZ261" s="145"/>
      <c r="BA261" s="145"/>
      <c r="BB261" s="145"/>
      <c r="BC261" s="145"/>
      <c r="BD261" s="145"/>
      <c r="BE261" s="145"/>
      <c r="BF261" s="145"/>
      <c r="BG261" s="145"/>
      <c r="BH261" s="145"/>
    </row>
    <row r="262" spans="1:60" outlineLevel="2" x14ac:dyDescent="0.25">
      <c r="A262" s="152"/>
      <c r="B262" s="153"/>
      <c r="C262" s="186" t="s">
        <v>543</v>
      </c>
      <c r="D262" s="184"/>
      <c r="E262" s="185">
        <v>23.562000000000001</v>
      </c>
      <c r="F262" s="155"/>
      <c r="G262" s="155"/>
      <c r="H262" s="155"/>
      <c r="I262" s="155"/>
      <c r="J262" s="155"/>
      <c r="K262" s="155"/>
      <c r="L262" s="155"/>
      <c r="M262" s="155"/>
      <c r="N262" s="154"/>
      <c r="O262" s="251"/>
      <c r="P262" s="154"/>
      <c r="Q262" s="154"/>
      <c r="R262" s="155"/>
      <c r="S262" s="155"/>
      <c r="T262" s="155"/>
      <c r="U262" s="155"/>
      <c r="V262" s="155"/>
      <c r="W262" s="155"/>
      <c r="X262" s="155"/>
      <c r="Y262" s="155"/>
      <c r="Z262" s="145"/>
      <c r="AA262" s="145"/>
      <c r="AB262" s="145"/>
      <c r="AC262" s="145"/>
      <c r="AD262" s="145"/>
      <c r="AE262" s="145"/>
      <c r="AF262" s="145"/>
      <c r="AG262" s="145" t="s">
        <v>170</v>
      </c>
      <c r="AH262" s="145">
        <v>0</v>
      </c>
      <c r="AI262" s="145"/>
      <c r="AJ262" s="145"/>
      <c r="AK262" s="145"/>
      <c r="AL262" s="145"/>
      <c r="AM262" s="145"/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  <c r="BA262" s="145"/>
      <c r="BB262" s="145"/>
      <c r="BC262" s="145"/>
      <c r="BD262" s="145"/>
      <c r="BE262" s="145"/>
      <c r="BF262" s="145"/>
      <c r="BG262" s="145"/>
      <c r="BH262" s="145"/>
    </row>
    <row r="263" spans="1:60" ht="20.399999999999999" outlineLevel="1" x14ac:dyDescent="0.25">
      <c r="A263" s="166">
        <v>116</v>
      </c>
      <c r="B263" s="167" t="s">
        <v>544</v>
      </c>
      <c r="C263" s="180" t="s">
        <v>545</v>
      </c>
      <c r="D263" s="168" t="s">
        <v>165</v>
      </c>
      <c r="E263" s="169">
        <v>39.382199999999997</v>
      </c>
      <c r="F263" s="170"/>
      <c r="G263" s="171">
        <f>ROUND(E263*F263,2)</f>
        <v>0</v>
      </c>
      <c r="H263" s="156">
        <v>385.12</v>
      </c>
      <c r="I263" s="155">
        <f>ROUND(E263*H263,2)</f>
        <v>15166.87</v>
      </c>
      <c r="J263" s="156">
        <v>0</v>
      </c>
      <c r="K263" s="155">
        <f>ROUND(E263*J263,2)</f>
        <v>0</v>
      </c>
      <c r="L263" s="155">
        <v>21</v>
      </c>
      <c r="M263" s="155">
        <f>G263*(1+L263/100)</f>
        <v>0</v>
      </c>
      <c r="N263" s="154">
        <v>1.8499999999999999E-2</v>
      </c>
      <c r="O263" s="251">
        <f>ROUND(E263*N263,2)</f>
        <v>0.73</v>
      </c>
      <c r="P263" s="154">
        <v>0</v>
      </c>
      <c r="Q263" s="154">
        <f>ROUND(E263*P263,2)</f>
        <v>0</v>
      </c>
      <c r="R263" s="155"/>
      <c r="S263" s="155" t="s">
        <v>141</v>
      </c>
      <c r="T263" s="155" t="s">
        <v>142</v>
      </c>
      <c r="U263" s="155">
        <v>0</v>
      </c>
      <c r="V263" s="155">
        <f>ROUND(E263*U263,2)</f>
        <v>0</v>
      </c>
      <c r="W263" s="155"/>
      <c r="X263" s="155" t="s">
        <v>174</v>
      </c>
      <c r="Y263" s="155" t="s">
        <v>144</v>
      </c>
      <c r="Z263" s="145"/>
      <c r="AA263" s="145"/>
      <c r="AB263" s="145"/>
      <c r="AC263" s="145"/>
      <c r="AD263" s="145"/>
      <c r="AE263" s="145"/>
      <c r="AF263" s="145"/>
      <c r="AG263" s="145" t="s">
        <v>175</v>
      </c>
      <c r="AH263" s="145"/>
      <c r="AI263" s="145"/>
      <c r="AJ263" s="145"/>
      <c r="AK263" s="145"/>
      <c r="AL263" s="145"/>
      <c r="AM263" s="145"/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  <c r="BA263" s="145"/>
      <c r="BB263" s="145"/>
      <c r="BC263" s="145"/>
      <c r="BD263" s="145"/>
      <c r="BE263" s="145"/>
      <c r="BF263" s="145"/>
      <c r="BG263" s="145"/>
      <c r="BH263" s="145"/>
    </row>
    <row r="264" spans="1:60" outlineLevel="2" x14ac:dyDescent="0.25">
      <c r="A264" s="152"/>
      <c r="B264" s="153"/>
      <c r="C264" s="186" t="s">
        <v>546</v>
      </c>
      <c r="D264" s="184"/>
      <c r="E264" s="185">
        <v>25.918199999999999</v>
      </c>
      <c r="F264" s="155"/>
      <c r="G264" s="155"/>
      <c r="H264" s="155"/>
      <c r="I264" s="155"/>
      <c r="J264" s="155"/>
      <c r="K264" s="155"/>
      <c r="L264" s="155"/>
      <c r="M264" s="155"/>
      <c r="N264" s="154"/>
      <c r="O264" s="251"/>
      <c r="P264" s="154"/>
      <c r="Q264" s="154"/>
      <c r="R264" s="155"/>
      <c r="S264" s="155"/>
      <c r="T264" s="155"/>
      <c r="U264" s="155"/>
      <c r="V264" s="155"/>
      <c r="W264" s="155"/>
      <c r="X264" s="155"/>
      <c r="Y264" s="155"/>
      <c r="Z264" s="145"/>
      <c r="AA264" s="145"/>
      <c r="AB264" s="145"/>
      <c r="AC264" s="145"/>
      <c r="AD264" s="145"/>
      <c r="AE264" s="145"/>
      <c r="AF264" s="145"/>
      <c r="AG264" s="145" t="s">
        <v>170</v>
      </c>
      <c r="AH264" s="145">
        <v>5</v>
      </c>
      <c r="AI264" s="145"/>
      <c r="AJ264" s="145"/>
      <c r="AK264" s="145"/>
      <c r="AL264" s="145"/>
      <c r="AM264" s="145"/>
      <c r="AN264" s="145"/>
      <c r="AO264" s="145"/>
      <c r="AP264" s="145"/>
      <c r="AQ264" s="145"/>
      <c r="AR264" s="145"/>
      <c r="AS264" s="145"/>
      <c r="AT264" s="145"/>
      <c r="AU264" s="145"/>
      <c r="AV264" s="145"/>
      <c r="AW264" s="145"/>
      <c r="AX264" s="145"/>
      <c r="AY264" s="145"/>
      <c r="AZ264" s="145"/>
      <c r="BA264" s="145"/>
      <c r="BB264" s="145"/>
      <c r="BC264" s="145"/>
      <c r="BD264" s="145"/>
      <c r="BE264" s="145"/>
      <c r="BF264" s="145"/>
      <c r="BG264" s="145"/>
      <c r="BH264" s="145"/>
    </row>
    <row r="265" spans="1:60" outlineLevel="3" x14ac:dyDescent="0.25">
      <c r="A265" s="152"/>
      <c r="B265" s="153"/>
      <c r="C265" s="186" t="s">
        <v>547</v>
      </c>
      <c r="D265" s="184"/>
      <c r="E265" s="185">
        <v>13.464</v>
      </c>
      <c r="F265" s="155"/>
      <c r="G265" s="155"/>
      <c r="H265" s="155"/>
      <c r="I265" s="155"/>
      <c r="J265" s="155"/>
      <c r="K265" s="155"/>
      <c r="L265" s="155"/>
      <c r="M265" s="155"/>
      <c r="N265" s="154"/>
      <c r="O265" s="251"/>
      <c r="P265" s="154"/>
      <c r="Q265" s="154"/>
      <c r="R265" s="155"/>
      <c r="S265" s="155"/>
      <c r="T265" s="155"/>
      <c r="U265" s="155"/>
      <c r="V265" s="155"/>
      <c r="W265" s="155"/>
      <c r="X265" s="155"/>
      <c r="Y265" s="155"/>
      <c r="Z265" s="145"/>
      <c r="AA265" s="145"/>
      <c r="AB265" s="145"/>
      <c r="AC265" s="145"/>
      <c r="AD265" s="145"/>
      <c r="AE265" s="145"/>
      <c r="AF265" s="145"/>
      <c r="AG265" s="145" t="s">
        <v>170</v>
      </c>
      <c r="AH265" s="145">
        <v>0</v>
      </c>
      <c r="AI265" s="145"/>
      <c r="AJ265" s="145"/>
      <c r="AK265" s="145"/>
      <c r="AL265" s="145"/>
      <c r="AM265" s="145"/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  <c r="BA265" s="145"/>
      <c r="BB265" s="145"/>
      <c r="BC265" s="145"/>
      <c r="BD265" s="145"/>
      <c r="BE265" s="145"/>
      <c r="BF265" s="145"/>
      <c r="BG265" s="145"/>
      <c r="BH265" s="145"/>
    </row>
    <row r="266" spans="1:60" outlineLevel="1" x14ac:dyDescent="0.25">
      <c r="A266" s="166">
        <v>117</v>
      </c>
      <c r="B266" s="167" t="s">
        <v>548</v>
      </c>
      <c r="C266" s="180" t="s">
        <v>549</v>
      </c>
      <c r="D266" s="168" t="s">
        <v>165</v>
      </c>
      <c r="E266" s="169">
        <v>97.54</v>
      </c>
      <c r="F266" s="170"/>
      <c r="G266" s="171">
        <f>ROUND(E266*F266,2)</f>
        <v>0</v>
      </c>
      <c r="H266" s="156">
        <v>172.7</v>
      </c>
      <c r="I266" s="155">
        <f>ROUND(E266*H266,2)</f>
        <v>16845.16</v>
      </c>
      <c r="J266" s="156">
        <v>705.3</v>
      </c>
      <c r="K266" s="155">
        <f>ROUND(E266*J266,2)</f>
        <v>68794.960000000006</v>
      </c>
      <c r="L266" s="155">
        <v>21</v>
      </c>
      <c r="M266" s="155">
        <f>G266*(1+L266/100)</f>
        <v>0</v>
      </c>
      <c r="N266" s="154">
        <v>5.3499999999999997E-3</v>
      </c>
      <c r="O266" s="251">
        <f>ROUND(E266*N266,2)</f>
        <v>0.52</v>
      </c>
      <c r="P266" s="154">
        <v>0</v>
      </c>
      <c r="Q266" s="154">
        <f>ROUND(E266*P266,2)</f>
        <v>0</v>
      </c>
      <c r="R266" s="155"/>
      <c r="S266" s="155" t="s">
        <v>1198</v>
      </c>
      <c r="T266" s="155" t="s">
        <v>1198</v>
      </c>
      <c r="U266" s="155">
        <v>1.29</v>
      </c>
      <c r="V266" s="155">
        <f>ROUND(E266*U266,2)</f>
        <v>125.83</v>
      </c>
      <c r="W266" s="155"/>
      <c r="X266" s="155" t="s">
        <v>143</v>
      </c>
      <c r="Y266" s="155" t="s">
        <v>144</v>
      </c>
      <c r="Z266" s="145"/>
      <c r="AA266" s="145"/>
      <c r="AB266" s="145"/>
      <c r="AC266" s="145"/>
      <c r="AD266" s="145"/>
      <c r="AE266" s="145"/>
      <c r="AF266" s="145"/>
      <c r="AG266" s="145" t="s">
        <v>145</v>
      </c>
      <c r="AH266" s="145"/>
      <c r="AI266" s="145"/>
      <c r="AJ266" s="145"/>
      <c r="AK266" s="145"/>
      <c r="AL266" s="145"/>
      <c r="AM266" s="145"/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  <c r="BA266" s="145"/>
      <c r="BB266" s="145"/>
      <c r="BC266" s="145"/>
      <c r="BD266" s="145"/>
      <c r="BE266" s="145"/>
      <c r="BF266" s="145"/>
      <c r="BG266" s="145"/>
      <c r="BH266" s="145"/>
    </row>
    <row r="267" spans="1:60" outlineLevel="2" x14ac:dyDescent="0.25">
      <c r="A267" s="152"/>
      <c r="B267" s="153"/>
      <c r="C267" s="186" t="s">
        <v>550</v>
      </c>
      <c r="D267" s="184"/>
      <c r="E267" s="185">
        <v>97.54</v>
      </c>
      <c r="F267" s="155"/>
      <c r="G267" s="155"/>
      <c r="H267" s="155"/>
      <c r="I267" s="155"/>
      <c r="J267" s="155"/>
      <c r="K267" s="155"/>
      <c r="L267" s="155"/>
      <c r="M267" s="155"/>
      <c r="N267" s="154"/>
      <c r="O267" s="251"/>
      <c r="P267" s="154"/>
      <c r="Q267" s="154"/>
      <c r="R267" s="155"/>
      <c r="S267" s="155"/>
      <c r="T267" s="155"/>
      <c r="U267" s="155"/>
      <c r="V267" s="155"/>
      <c r="W267" s="155"/>
      <c r="X267" s="155"/>
      <c r="Y267" s="155"/>
      <c r="Z267" s="145"/>
      <c r="AA267" s="145"/>
      <c r="AB267" s="145"/>
      <c r="AC267" s="145"/>
      <c r="AD267" s="145"/>
      <c r="AE267" s="145"/>
      <c r="AF267" s="145"/>
      <c r="AG267" s="145" t="s">
        <v>170</v>
      </c>
      <c r="AH267" s="145">
        <v>0</v>
      </c>
      <c r="AI267" s="145"/>
      <c r="AJ267" s="145"/>
      <c r="AK267" s="145"/>
      <c r="AL267" s="145"/>
      <c r="AM267" s="145"/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  <c r="BA267" s="145"/>
      <c r="BB267" s="145"/>
      <c r="BC267" s="145"/>
      <c r="BD267" s="145"/>
      <c r="BE267" s="145"/>
      <c r="BF267" s="145"/>
      <c r="BG267" s="145"/>
      <c r="BH267" s="145"/>
    </row>
    <row r="268" spans="1:60" ht="20.399999999999999" outlineLevel="1" x14ac:dyDescent="0.25">
      <c r="A268" s="166">
        <v>118</v>
      </c>
      <c r="B268" s="167" t="s">
        <v>551</v>
      </c>
      <c r="C268" s="180" t="s">
        <v>552</v>
      </c>
      <c r="D268" s="168" t="s">
        <v>165</v>
      </c>
      <c r="E268" s="169">
        <v>107.294</v>
      </c>
      <c r="F268" s="170"/>
      <c r="G268" s="171">
        <f>ROUND(E268*F268,2)</f>
        <v>0</v>
      </c>
      <c r="H268" s="156">
        <v>0</v>
      </c>
      <c r="I268" s="155">
        <f>ROUND(E268*H268,2)</f>
        <v>0</v>
      </c>
      <c r="J268" s="156">
        <v>536.41</v>
      </c>
      <c r="K268" s="155">
        <f>ROUND(E268*J268,2)</f>
        <v>57553.57</v>
      </c>
      <c r="L268" s="155">
        <v>21</v>
      </c>
      <c r="M268" s="155">
        <f>G268*(1+L268/100)</f>
        <v>0</v>
      </c>
      <c r="N268" s="154">
        <v>1.8509999999999999E-2</v>
      </c>
      <c r="O268" s="251">
        <f>ROUND(E268*N268,2)</f>
        <v>1.99</v>
      </c>
      <c r="P268" s="154">
        <v>0</v>
      </c>
      <c r="Q268" s="154">
        <f>ROUND(E268*P268,2)</f>
        <v>0</v>
      </c>
      <c r="R268" s="155"/>
      <c r="S268" s="155" t="s">
        <v>1199</v>
      </c>
      <c r="T268" s="155" t="s">
        <v>142</v>
      </c>
      <c r="U268" s="155">
        <v>0</v>
      </c>
      <c r="V268" s="155">
        <f>ROUND(E268*U268,2)</f>
        <v>0</v>
      </c>
      <c r="W268" s="155"/>
      <c r="X268" s="155" t="s">
        <v>143</v>
      </c>
      <c r="Y268" s="155" t="s">
        <v>144</v>
      </c>
      <c r="Z268" s="145"/>
      <c r="AA268" s="145"/>
      <c r="AB268" s="145"/>
      <c r="AC268" s="145"/>
      <c r="AD268" s="145"/>
      <c r="AE268" s="145"/>
      <c r="AF268" s="145"/>
      <c r="AG268" s="145" t="s">
        <v>145</v>
      </c>
      <c r="AH268" s="145"/>
      <c r="AI268" s="145"/>
      <c r="AJ268" s="145"/>
      <c r="AK268" s="145"/>
      <c r="AL268" s="145"/>
      <c r="AM268" s="145"/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  <c r="BA268" s="145"/>
      <c r="BB268" s="145"/>
      <c r="BC268" s="145"/>
      <c r="BD268" s="145"/>
      <c r="BE268" s="145"/>
      <c r="BF268" s="145"/>
      <c r="BG268" s="145"/>
      <c r="BH268" s="145"/>
    </row>
    <row r="269" spans="1:60" outlineLevel="2" x14ac:dyDescent="0.25">
      <c r="A269" s="152"/>
      <c r="B269" s="153"/>
      <c r="C269" s="186" t="s">
        <v>553</v>
      </c>
      <c r="D269" s="184"/>
      <c r="E269" s="185">
        <v>107.294</v>
      </c>
      <c r="F269" s="155"/>
      <c r="G269" s="155"/>
      <c r="H269" s="155"/>
      <c r="I269" s="155"/>
      <c r="J269" s="155"/>
      <c r="K269" s="155"/>
      <c r="L269" s="155"/>
      <c r="M269" s="155"/>
      <c r="N269" s="154"/>
      <c r="O269" s="251"/>
      <c r="P269" s="154"/>
      <c r="Q269" s="154"/>
      <c r="R269" s="155"/>
      <c r="S269" s="155"/>
      <c r="T269" s="155"/>
      <c r="U269" s="155"/>
      <c r="V269" s="155"/>
      <c r="W269" s="155"/>
      <c r="X269" s="155"/>
      <c r="Y269" s="155"/>
      <c r="Z269" s="145"/>
      <c r="AA269" s="145"/>
      <c r="AB269" s="145"/>
      <c r="AC269" s="145"/>
      <c r="AD269" s="145"/>
      <c r="AE269" s="145"/>
      <c r="AF269" s="145"/>
      <c r="AG269" s="145" t="s">
        <v>170</v>
      </c>
      <c r="AH269" s="145">
        <v>0</v>
      </c>
      <c r="AI269" s="145"/>
      <c r="AJ269" s="145"/>
      <c r="AK269" s="145"/>
      <c r="AL269" s="145"/>
      <c r="AM269" s="145"/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  <c r="BA269" s="145"/>
      <c r="BB269" s="145"/>
      <c r="BC269" s="145"/>
      <c r="BD269" s="145"/>
      <c r="BE269" s="145"/>
      <c r="BF269" s="145"/>
      <c r="BG269" s="145"/>
      <c r="BH269" s="145"/>
    </row>
    <row r="270" spans="1:60" ht="20.399999999999999" outlineLevel="1" x14ac:dyDescent="0.25">
      <c r="A270" s="172">
        <v>119</v>
      </c>
      <c r="B270" s="173" t="s">
        <v>526</v>
      </c>
      <c r="C270" s="179" t="s">
        <v>527</v>
      </c>
      <c r="D270" s="174" t="s">
        <v>165</v>
      </c>
      <c r="E270" s="175">
        <v>121.1</v>
      </c>
      <c r="F270" s="176"/>
      <c r="G270" s="177">
        <f>ROUND(E270*F270,2)</f>
        <v>0</v>
      </c>
      <c r="H270" s="156">
        <v>7.4</v>
      </c>
      <c r="I270" s="155">
        <f>ROUND(E270*H270,2)</f>
        <v>896.14</v>
      </c>
      <c r="J270" s="156">
        <v>0</v>
      </c>
      <c r="K270" s="155">
        <f>ROUND(E270*J270,2)</f>
        <v>0</v>
      </c>
      <c r="L270" s="155">
        <v>21</v>
      </c>
      <c r="M270" s="155">
        <f>G270*(1+L270/100)</f>
        <v>0</v>
      </c>
      <c r="N270" s="154">
        <v>2.9999999999999997E-4</v>
      </c>
      <c r="O270" s="251">
        <f>ROUND(E270*N270,2)</f>
        <v>0.04</v>
      </c>
      <c r="P270" s="154">
        <v>0</v>
      </c>
      <c r="Q270" s="154">
        <f>ROUND(E270*P270,2)</f>
        <v>0</v>
      </c>
      <c r="R270" s="155"/>
      <c r="S270" s="155" t="s">
        <v>1198</v>
      </c>
      <c r="T270" s="155" t="s">
        <v>1198</v>
      </c>
      <c r="U270" s="155">
        <v>0</v>
      </c>
      <c r="V270" s="155">
        <f>ROUND(E270*U270,2)</f>
        <v>0</v>
      </c>
      <c r="W270" s="155"/>
      <c r="X270" s="155" t="s">
        <v>143</v>
      </c>
      <c r="Y270" s="155" t="s">
        <v>144</v>
      </c>
      <c r="Z270" s="145"/>
      <c r="AA270" s="145"/>
      <c r="AB270" s="145"/>
      <c r="AC270" s="145"/>
      <c r="AD270" s="145"/>
      <c r="AE270" s="145"/>
      <c r="AF270" s="145"/>
      <c r="AG270" s="145" t="s">
        <v>145</v>
      </c>
      <c r="AH270" s="145"/>
      <c r="AI270" s="145"/>
      <c r="AJ270" s="145"/>
      <c r="AK270" s="145"/>
      <c r="AL270" s="145"/>
      <c r="AM270" s="145"/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  <c r="BA270" s="145"/>
      <c r="BB270" s="145"/>
      <c r="BC270" s="145"/>
      <c r="BD270" s="145"/>
      <c r="BE270" s="145"/>
      <c r="BF270" s="145"/>
      <c r="BG270" s="145"/>
      <c r="BH270" s="145"/>
    </row>
    <row r="271" spans="1:60" outlineLevel="1" x14ac:dyDescent="0.25">
      <c r="A271" s="166">
        <v>120</v>
      </c>
      <c r="B271" s="167" t="s">
        <v>554</v>
      </c>
      <c r="C271" s="180" t="s">
        <v>555</v>
      </c>
      <c r="D271" s="168" t="s">
        <v>267</v>
      </c>
      <c r="E271" s="169">
        <v>3.4167000000000001</v>
      </c>
      <c r="F271" s="170"/>
      <c r="G271" s="171">
        <f>ROUND(E271*F271,2)</f>
        <v>0</v>
      </c>
      <c r="H271" s="156">
        <v>0</v>
      </c>
      <c r="I271" s="155">
        <f>ROUND(E271*H271,2)</f>
        <v>0</v>
      </c>
      <c r="J271" s="156">
        <v>688</v>
      </c>
      <c r="K271" s="155">
        <f>ROUND(E271*J271,2)</f>
        <v>2350.69</v>
      </c>
      <c r="L271" s="155">
        <v>21</v>
      </c>
      <c r="M271" s="155">
        <f>G271*(1+L271/100)</f>
        <v>0</v>
      </c>
      <c r="N271" s="154">
        <v>0</v>
      </c>
      <c r="O271" s="251">
        <f>ROUND(E271*N271,2)</f>
        <v>0</v>
      </c>
      <c r="P271" s="154">
        <v>0</v>
      </c>
      <c r="Q271" s="154">
        <f>ROUND(E271*P271,2)</f>
        <v>0</v>
      </c>
      <c r="R271" s="155"/>
      <c r="S271" s="155" t="s">
        <v>1198</v>
      </c>
      <c r="T271" s="155" t="s">
        <v>1198</v>
      </c>
      <c r="U271" s="155">
        <v>1.6</v>
      </c>
      <c r="V271" s="155">
        <f>ROUND(E271*U271,2)</f>
        <v>5.47</v>
      </c>
      <c r="W271" s="155"/>
      <c r="X271" s="155" t="s">
        <v>143</v>
      </c>
      <c r="Y271" s="155" t="s">
        <v>144</v>
      </c>
      <c r="Z271" s="145"/>
      <c r="AA271" s="145"/>
      <c r="AB271" s="145"/>
      <c r="AC271" s="145"/>
      <c r="AD271" s="145"/>
      <c r="AE271" s="145"/>
      <c r="AF271" s="145"/>
      <c r="AG271" s="145" t="s">
        <v>145</v>
      </c>
      <c r="AH271" s="145"/>
      <c r="AI271" s="145"/>
      <c r="AJ271" s="145"/>
      <c r="AK271" s="145"/>
      <c r="AL271" s="145"/>
      <c r="AM271" s="145"/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  <c r="BA271" s="145"/>
      <c r="BB271" s="145"/>
      <c r="BC271" s="145"/>
      <c r="BD271" s="145"/>
      <c r="BE271" s="145"/>
      <c r="BF271" s="145"/>
      <c r="BG271" s="145"/>
      <c r="BH271" s="145"/>
    </row>
    <row r="272" spans="1:60" outlineLevel="2" x14ac:dyDescent="0.25">
      <c r="A272" s="152"/>
      <c r="B272" s="153"/>
      <c r="C272" s="186" t="s">
        <v>556</v>
      </c>
      <c r="D272" s="184"/>
      <c r="E272" s="185">
        <v>2.5430000000000001E-2</v>
      </c>
      <c r="F272" s="155"/>
      <c r="G272" s="155"/>
      <c r="H272" s="155"/>
      <c r="I272" s="155"/>
      <c r="J272" s="155"/>
      <c r="K272" s="155"/>
      <c r="L272" s="155"/>
      <c r="M272" s="155"/>
      <c r="N272" s="154"/>
      <c r="O272" s="251"/>
      <c r="P272" s="154"/>
      <c r="Q272" s="154"/>
      <c r="R272" s="155"/>
      <c r="S272" s="155"/>
      <c r="T272" s="155"/>
      <c r="U272" s="155"/>
      <c r="V272" s="155"/>
      <c r="W272" s="155"/>
      <c r="X272" s="155"/>
      <c r="Y272" s="155"/>
      <c r="Z272" s="145"/>
      <c r="AA272" s="145"/>
      <c r="AB272" s="145"/>
      <c r="AC272" s="145"/>
      <c r="AD272" s="145"/>
      <c r="AE272" s="145"/>
      <c r="AF272" s="145"/>
      <c r="AG272" s="145" t="s">
        <v>170</v>
      </c>
      <c r="AH272" s="145">
        <v>6</v>
      </c>
      <c r="AI272" s="145"/>
      <c r="AJ272" s="145"/>
      <c r="AK272" s="145"/>
      <c r="AL272" s="145"/>
      <c r="AM272" s="145"/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  <c r="BA272" s="145"/>
      <c r="BB272" s="145"/>
      <c r="BC272" s="145"/>
      <c r="BD272" s="145"/>
      <c r="BE272" s="145"/>
      <c r="BF272" s="145"/>
      <c r="BG272" s="145"/>
      <c r="BH272" s="145"/>
    </row>
    <row r="273" spans="1:60" outlineLevel="3" x14ac:dyDescent="0.25">
      <c r="A273" s="152"/>
      <c r="B273" s="153"/>
      <c r="C273" s="186" t="s">
        <v>557</v>
      </c>
      <c r="D273" s="184"/>
      <c r="E273" s="185">
        <v>0.11852</v>
      </c>
      <c r="F273" s="155"/>
      <c r="G273" s="155"/>
      <c r="H273" s="155"/>
      <c r="I273" s="155"/>
      <c r="J273" s="155"/>
      <c r="K273" s="155"/>
      <c r="L273" s="155"/>
      <c r="M273" s="155"/>
      <c r="N273" s="154"/>
      <c r="O273" s="251"/>
      <c r="P273" s="154"/>
      <c r="Q273" s="154"/>
      <c r="R273" s="155"/>
      <c r="S273" s="155"/>
      <c r="T273" s="155"/>
      <c r="U273" s="155"/>
      <c r="V273" s="155"/>
      <c r="W273" s="155"/>
      <c r="X273" s="155"/>
      <c r="Y273" s="155"/>
      <c r="Z273" s="145"/>
      <c r="AA273" s="145"/>
      <c r="AB273" s="145"/>
      <c r="AC273" s="145"/>
      <c r="AD273" s="145"/>
      <c r="AE273" s="145"/>
      <c r="AF273" s="145"/>
      <c r="AG273" s="145" t="s">
        <v>170</v>
      </c>
      <c r="AH273" s="145">
        <v>6</v>
      </c>
      <c r="AI273" s="145"/>
      <c r="AJ273" s="145"/>
      <c r="AK273" s="145"/>
      <c r="AL273" s="145"/>
      <c r="AM273" s="145"/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  <c r="BA273" s="145"/>
      <c r="BB273" s="145"/>
      <c r="BC273" s="145"/>
      <c r="BD273" s="145"/>
      <c r="BE273" s="145"/>
      <c r="BF273" s="145"/>
      <c r="BG273" s="145"/>
      <c r="BH273" s="145"/>
    </row>
    <row r="274" spans="1:60" outlineLevel="3" x14ac:dyDescent="0.25">
      <c r="A274" s="152"/>
      <c r="B274" s="153"/>
      <c r="C274" s="186" t="s">
        <v>558</v>
      </c>
      <c r="D274" s="184"/>
      <c r="E274" s="185">
        <v>0.72857000000000005</v>
      </c>
      <c r="F274" s="155"/>
      <c r="G274" s="155"/>
      <c r="H274" s="155"/>
      <c r="I274" s="155"/>
      <c r="J274" s="155"/>
      <c r="K274" s="155"/>
      <c r="L274" s="155"/>
      <c r="M274" s="155"/>
      <c r="N274" s="154"/>
      <c r="O274" s="251"/>
      <c r="P274" s="154"/>
      <c r="Q274" s="154"/>
      <c r="R274" s="155"/>
      <c r="S274" s="155"/>
      <c r="T274" s="155"/>
      <c r="U274" s="155"/>
      <c r="V274" s="155"/>
      <c r="W274" s="155"/>
      <c r="X274" s="155"/>
      <c r="Y274" s="155"/>
      <c r="Z274" s="145"/>
      <c r="AA274" s="145"/>
      <c r="AB274" s="145"/>
      <c r="AC274" s="145"/>
      <c r="AD274" s="145"/>
      <c r="AE274" s="145"/>
      <c r="AF274" s="145"/>
      <c r="AG274" s="145" t="s">
        <v>170</v>
      </c>
      <c r="AH274" s="145">
        <v>6</v>
      </c>
      <c r="AI274" s="145"/>
      <c r="AJ274" s="145"/>
      <c r="AK274" s="145"/>
      <c r="AL274" s="145"/>
      <c r="AM274" s="145"/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  <c r="BA274" s="145"/>
      <c r="BB274" s="145"/>
      <c r="BC274" s="145"/>
      <c r="BD274" s="145"/>
      <c r="BE274" s="145"/>
      <c r="BF274" s="145"/>
      <c r="BG274" s="145"/>
      <c r="BH274" s="145"/>
    </row>
    <row r="275" spans="1:60" outlineLevel="3" x14ac:dyDescent="0.25">
      <c r="A275" s="152"/>
      <c r="B275" s="153"/>
      <c r="C275" s="186" t="s">
        <v>559</v>
      </c>
      <c r="D275" s="184"/>
      <c r="E275" s="185">
        <v>0.52183999999999997</v>
      </c>
      <c r="F275" s="155"/>
      <c r="G275" s="155"/>
      <c r="H275" s="155"/>
      <c r="I275" s="155"/>
      <c r="J275" s="155"/>
      <c r="K275" s="155"/>
      <c r="L275" s="155"/>
      <c r="M275" s="155"/>
      <c r="N275" s="154"/>
      <c r="O275" s="251"/>
      <c r="P275" s="154"/>
      <c r="Q275" s="154"/>
      <c r="R275" s="155"/>
      <c r="S275" s="155"/>
      <c r="T275" s="155"/>
      <c r="U275" s="155"/>
      <c r="V275" s="155"/>
      <c r="W275" s="155"/>
      <c r="X275" s="155"/>
      <c r="Y275" s="155"/>
      <c r="Z275" s="145"/>
      <c r="AA275" s="145"/>
      <c r="AB275" s="145"/>
      <c r="AC275" s="145"/>
      <c r="AD275" s="145"/>
      <c r="AE275" s="145"/>
      <c r="AF275" s="145"/>
      <c r="AG275" s="145" t="s">
        <v>170</v>
      </c>
      <c r="AH275" s="145">
        <v>6</v>
      </c>
      <c r="AI275" s="145"/>
      <c r="AJ275" s="145"/>
      <c r="AK275" s="145"/>
      <c r="AL275" s="145"/>
      <c r="AM275" s="145"/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  <c r="BA275" s="145"/>
      <c r="BB275" s="145"/>
      <c r="BC275" s="145"/>
      <c r="BD275" s="145"/>
      <c r="BE275" s="145"/>
      <c r="BF275" s="145"/>
      <c r="BG275" s="145"/>
      <c r="BH275" s="145"/>
    </row>
    <row r="276" spans="1:60" outlineLevel="3" x14ac:dyDescent="0.25">
      <c r="A276" s="152"/>
      <c r="B276" s="153"/>
      <c r="C276" s="186" t="s">
        <v>560</v>
      </c>
      <c r="D276" s="184"/>
      <c r="E276" s="185">
        <v>1.9860100000000001</v>
      </c>
      <c r="F276" s="155"/>
      <c r="G276" s="155"/>
      <c r="H276" s="155"/>
      <c r="I276" s="155"/>
      <c r="J276" s="155"/>
      <c r="K276" s="155"/>
      <c r="L276" s="155"/>
      <c r="M276" s="155"/>
      <c r="N276" s="154"/>
      <c r="O276" s="251"/>
      <c r="P276" s="154"/>
      <c r="Q276" s="154"/>
      <c r="R276" s="155"/>
      <c r="S276" s="155"/>
      <c r="T276" s="155"/>
      <c r="U276" s="155"/>
      <c r="V276" s="155"/>
      <c r="W276" s="155"/>
      <c r="X276" s="155"/>
      <c r="Y276" s="155"/>
      <c r="Z276" s="145"/>
      <c r="AA276" s="145"/>
      <c r="AB276" s="145"/>
      <c r="AC276" s="145"/>
      <c r="AD276" s="145"/>
      <c r="AE276" s="145"/>
      <c r="AF276" s="145"/>
      <c r="AG276" s="145" t="s">
        <v>170</v>
      </c>
      <c r="AH276" s="145">
        <v>6</v>
      </c>
      <c r="AI276" s="145"/>
      <c r="AJ276" s="145"/>
      <c r="AK276" s="145"/>
      <c r="AL276" s="145"/>
      <c r="AM276" s="145"/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  <c r="BA276" s="145"/>
      <c r="BB276" s="145"/>
      <c r="BC276" s="145"/>
      <c r="BD276" s="145"/>
      <c r="BE276" s="145"/>
      <c r="BF276" s="145"/>
      <c r="BG276" s="145"/>
      <c r="BH276" s="145"/>
    </row>
    <row r="277" spans="1:60" outlineLevel="3" x14ac:dyDescent="0.25">
      <c r="A277" s="152"/>
      <c r="B277" s="153"/>
      <c r="C277" s="186" t="s">
        <v>561</v>
      </c>
      <c r="D277" s="184"/>
      <c r="E277" s="185">
        <v>3.6330000000000001E-2</v>
      </c>
      <c r="F277" s="155"/>
      <c r="G277" s="155"/>
      <c r="H277" s="155"/>
      <c r="I277" s="155"/>
      <c r="J277" s="155"/>
      <c r="K277" s="155"/>
      <c r="L277" s="155"/>
      <c r="M277" s="155"/>
      <c r="N277" s="154"/>
      <c r="O277" s="251"/>
      <c r="P277" s="154"/>
      <c r="Q277" s="154"/>
      <c r="R277" s="155"/>
      <c r="S277" s="155"/>
      <c r="T277" s="155"/>
      <c r="U277" s="155"/>
      <c r="V277" s="155"/>
      <c r="W277" s="155"/>
      <c r="X277" s="155"/>
      <c r="Y277" s="155"/>
      <c r="Z277" s="145"/>
      <c r="AA277" s="145"/>
      <c r="AB277" s="145"/>
      <c r="AC277" s="145"/>
      <c r="AD277" s="145"/>
      <c r="AE277" s="145"/>
      <c r="AF277" s="145"/>
      <c r="AG277" s="145" t="s">
        <v>170</v>
      </c>
      <c r="AH277" s="145">
        <v>6</v>
      </c>
      <c r="AI277" s="145"/>
      <c r="AJ277" s="145"/>
      <c r="AK277" s="145"/>
      <c r="AL277" s="145"/>
      <c r="AM277" s="145"/>
      <c r="AN277" s="145"/>
      <c r="AO277" s="145"/>
      <c r="AP277" s="145"/>
      <c r="AQ277" s="145"/>
      <c r="AR277" s="145"/>
      <c r="AS277" s="145"/>
      <c r="AT277" s="145"/>
      <c r="AU277" s="145"/>
      <c r="AV277" s="145"/>
      <c r="AW277" s="145"/>
      <c r="AX277" s="145"/>
      <c r="AY277" s="145"/>
      <c r="AZ277" s="145"/>
      <c r="BA277" s="145"/>
      <c r="BB277" s="145"/>
      <c r="BC277" s="145"/>
      <c r="BD277" s="145"/>
      <c r="BE277" s="145"/>
      <c r="BF277" s="145"/>
      <c r="BG277" s="145"/>
      <c r="BH277" s="145"/>
    </row>
    <row r="278" spans="1:60" x14ac:dyDescent="0.25">
      <c r="A278" s="159" t="s">
        <v>136</v>
      </c>
      <c r="B278" s="160" t="s">
        <v>102</v>
      </c>
      <c r="C278" s="178" t="s">
        <v>103</v>
      </c>
      <c r="D278" s="161"/>
      <c r="E278" s="162"/>
      <c r="F278" s="163"/>
      <c r="G278" s="164">
        <f>SUMIF(AG279:AG288,"&lt;&gt;NOR",G279:G288)</f>
        <v>0</v>
      </c>
      <c r="H278" s="158"/>
      <c r="I278" s="158">
        <f>SUM(I279:I288)</f>
        <v>11852.94</v>
      </c>
      <c r="J278" s="158"/>
      <c r="K278" s="158">
        <f>SUM(K279:K288)</f>
        <v>27939.15</v>
      </c>
      <c r="L278" s="158"/>
      <c r="M278" s="158">
        <f>SUM(M279:M288)</f>
        <v>0</v>
      </c>
      <c r="N278" s="157"/>
      <c r="O278" s="252">
        <f>SUM(O279:O288)</f>
        <v>9.9999999999999992E-2</v>
      </c>
      <c r="P278" s="157"/>
      <c r="Q278" s="157">
        <f>SUM(Q279:Q288)</f>
        <v>0</v>
      </c>
      <c r="R278" s="158"/>
      <c r="S278" s="158"/>
      <c r="T278" s="158"/>
      <c r="U278" s="158"/>
      <c r="V278" s="158">
        <f>SUM(V279:V288)</f>
        <v>60.59</v>
      </c>
      <c r="W278" s="158"/>
      <c r="X278" s="158"/>
      <c r="Y278" s="158"/>
      <c r="AG278" t="s">
        <v>137</v>
      </c>
    </row>
    <row r="279" spans="1:60" outlineLevel="1" x14ac:dyDescent="0.25">
      <c r="A279" s="166">
        <v>121</v>
      </c>
      <c r="B279" s="167" t="s">
        <v>562</v>
      </c>
      <c r="C279" s="180" t="s">
        <v>563</v>
      </c>
      <c r="D279" s="168" t="s">
        <v>165</v>
      </c>
      <c r="E279" s="169">
        <v>37.98348</v>
      </c>
      <c r="F279" s="170"/>
      <c r="G279" s="171">
        <f>ROUND(E279*F279,2)</f>
        <v>0</v>
      </c>
      <c r="H279" s="156">
        <v>20.18</v>
      </c>
      <c r="I279" s="155">
        <f>ROUND(E279*H279,2)</f>
        <v>766.51</v>
      </c>
      <c r="J279" s="156">
        <v>13.32</v>
      </c>
      <c r="K279" s="155">
        <f>ROUND(E279*J279,2)</f>
        <v>505.94</v>
      </c>
      <c r="L279" s="155">
        <v>21</v>
      </c>
      <c r="M279" s="155">
        <f>G279*(1+L279/100)</f>
        <v>0</v>
      </c>
      <c r="N279" s="154">
        <v>1.4999999999999999E-4</v>
      </c>
      <c r="O279" s="251">
        <f>ROUND(E279*N279,2)</f>
        <v>0.01</v>
      </c>
      <c r="P279" s="154">
        <v>0</v>
      </c>
      <c r="Q279" s="154">
        <f>ROUND(E279*P279,2)</f>
        <v>0</v>
      </c>
      <c r="R279" s="155"/>
      <c r="S279" s="155" t="s">
        <v>1198</v>
      </c>
      <c r="T279" s="155" t="s">
        <v>1198</v>
      </c>
      <c r="U279" s="155">
        <v>0.03</v>
      </c>
      <c r="V279" s="155">
        <f>ROUND(E279*U279,2)</f>
        <v>1.1399999999999999</v>
      </c>
      <c r="W279" s="155"/>
      <c r="X279" s="155" t="s">
        <v>143</v>
      </c>
      <c r="Y279" s="155" t="s">
        <v>144</v>
      </c>
      <c r="Z279" s="145"/>
      <c r="AA279" s="145"/>
      <c r="AB279" s="145"/>
      <c r="AC279" s="145"/>
      <c r="AD279" s="145"/>
      <c r="AE279" s="145"/>
      <c r="AF279" s="145"/>
      <c r="AG279" s="145" t="s">
        <v>145</v>
      </c>
      <c r="AH279" s="145"/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  <c r="BA279" s="145"/>
      <c r="BB279" s="145"/>
      <c r="BC279" s="145"/>
      <c r="BD279" s="145"/>
      <c r="BE279" s="145"/>
      <c r="BF279" s="145"/>
      <c r="BG279" s="145"/>
      <c r="BH279" s="145"/>
    </row>
    <row r="280" spans="1:60" ht="20.399999999999999" outlineLevel="2" x14ac:dyDescent="0.25">
      <c r="A280" s="152"/>
      <c r="B280" s="153"/>
      <c r="C280" s="186" t="s">
        <v>564</v>
      </c>
      <c r="D280" s="184"/>
      <c r="E280" s="185">
        <v>37.98348</v>
      </c>
      <c r="F280" s="155"/>
      <c r="G280" s="155"/>
      <c r="H280" s="155"/>
      <c r="I280" s="155"/>
      <c r="J280" s="155"/>
      <c r="K280" s="155"/>
      <c r="L280" s="155"/>
      <c r="M280" s="155"/>
      <c r="N280" s="154"/>
      <c r="O280" s="251"/>
      <c r="P280" s="154"/>
      <c r="Q280" s="154"/>
      <c r="R280" s="155"/>
      <c r="S280" s="155"/>
      <c r="T280" s="155"/>
      <c r="U280" s="155"/>
      <c r="V280" s="155"/>
      <c r="W280" s="155"/>
      <c r="X280" s="155"/>
      <c r="Y280" s="155"/>
      <c r="Z280" s="145"/>
      <c r="AA280" s="145"/>
      <c r="AB280" s="145"/>
      <c r="AC280" s="145"/>
      <c r="AD280" s="145"/>
      <c r="AE280" s="145"/>
      <c r="AF280" s="145"/>
      <c r="AG280" s="145" t="s">
        <v>170</v>
      </c>
      <c r="AH280" s="145">
        <v>0</v>
      </c>
      <c r="AI280" s="145"/>
      <c r="AJ280" s="145"/>
      <c r="AK280" s="145"/>
      <c r="AL280" s="145"/>
      <c r="AM280" s="145"/>
      <c r="AN280" s="145"/>
      <c r="AO280" s="145"/>
      <c r="AP280" s="145"/>
      <c r="AQ280" s="145"/>
      <c r="AR280" s="145"/>
      <c r="AS280" s="145"/>
      <c r="AT280" s="145"/>
      <c r="AU280" s="145"/>
      <c r="AV280" s="145"/>
      <c r="AW280" s="145"/>
      <c r="AX280" s="145"/>
      <c r="AY280" s="145"/>
      <c r="AZ280" s="145"/>
      <c r="BA280" s="145"/>
      <c r="BB280" s="145"/>
      <c r="BC280" s="145"/>
      <c r="BD280" s="145"/>
      <c r="BE280" s="145"/>
      <c r="BF280" s="145"/>
      <c r="BG280" s="145"/>
      <c r="BH280" s="145"/>
    </row>
    <row r="281" spans="1:60" outlineLevel="1" x14ac:dyDescent="0.25">
      <c r="A281" s="166">
        <v>122</v>
      </c>
      <c r="B281" s="167" t="s">
        <v>565</v>
      </c>
      <c r="C281" s="180" t="s">
        <v>1222</v>
      </c>
      <c r="D281" s="168" t="s">
        <v>165</v>
      </c>
      <c r="E281" s="169">
        <v>280.13499999999999</v>
      </c>
      <c r="F281" s="170"/>
      <c r="G281" s="171">
        <f>ROUND(E281*F281,2)</f>
        <v>0</v>
      </c>
      <c r="H281" s="156">
        <v>13.04</v>
      </c>
      <c r="I281" s="155">
        <f>ROUND(E281*H281,2)</f>
        <v>3652.96</v>
      </c>
      <c r="J281" s="156">
        <v>64.959999999999994</v>
      </c>
      <c r="K281" s="155">
        <f>ROUND(E281*J281,2)</f>
        <v>18197.57</v>
      </c>
      <c r="L281" s="155">
        <v>21</v>
      </c>
      <c r="M281" s="155">
        <f>G281*(1+L281/100)</f>
        <v>0</v>
      </c>
      <c r="N281" s="154">
        <v>1.6000000000000001E-4</v>
      </c>
      <c r="O281" s="251">
        <f>ROUND(E281*N281,2)</f>
        <v>0.04</v>
      </c>
      <c r="P281" s="154">
        <v>0</v>
      </c>
      <c r="Q281" s="154">
        <f>ROUND(E281*P281,2)</f>
        <v>0</v>
      </c>
      <c r="R281" s="155"/>
      <c r="S281" s="155" t="s">
        <v>1198</v>
      </c>
      <c r="T281" s="155" t="s">
        <v>1198</v>
      </c>
      <c r="U281" s="155">
        <v>0.15</v>
      </c>
      <c r="V281" s="155">
        <f>ROUND(E281*U281,2)</f>
        <v>42.02</v>
      </c>
      <c r="W281" s="155"/>
      <c r="X281" s="155" t="s">
        <v>143</v>
      </c>
      <c r="Y281" s="155" t="s">
        <v>144</v>
      </c>
      <c r="Z281" s="145"/>
      <c r="AA281" s="145"/>
      <c r="AB281" s="145"/>
      <c r="AC281" s="145"/>
      <c r="AD281" s="145"/>
      <c r="AE281" s="145"/>
      <c r="AF281" s="145"/>
      <c r="AG281" s="145" t="s">
        <v>145</v>
      </c>
      <c r="AH281" s="145"/>
      <c r="AI281" s="145"/>
      <c r="AJ281" s="145"/>
      <c r="AK281" s="145"/>
      <c r="AL281" s="145"/>
      <c r="AM281" s="145"/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  <c r="BA281" s="145"/>
      <c r="BB281" s="145"/>
      <c r="BC281" s="145"/>
      <c r="BD281" s="145"/>
      <c r="BE281" s="145"/>
      <c r="BF281" s="145"/>
      <c r="BG281" s="145"/>
      <c r="BH281" s="145"/>
    </row>
    <row r="282" spans="1:60" outlineLevel="2" x14ac:dyDescent="0.25">
      <c r="A282" s="152"/>
      <c r="B282" s="153"/>
      <c r="C282" s="574" t="s">
        <v>566</v>
      </c>
      <c r="D282" s="575"/>
      <c r="E282" s="575"/>
      <c r="F282" s="575"/>
      <c r="G282" s="575"/>
      <c r="H282" s="155"/>
      <c r="I282" s="155"/>
      <c r="J282" s="155"/>
      <c r="K282" s="155"/>
      <c r="L282" s="155"/>
      <c r="M282" s="155"/>
      <c r="N282" s="154"/>
      <c r="O282" s="251"/>
      <c r="P282" s="154"/>
      <c r="Q282" s="154"/>
      <c r="R282" s="155"/>
      <c r="S282" s="155"/>
      <c r="T282" s="155"/>
      <c r="U282" s="155"/>
      <c r="V282" s="155"/>
      <c r="W282" s="155"/>
      <c r="X282" s="155"/>
      <c r="Y282" s="155"/>
      <c r="Z282" s="145"/>
      <c r="AA282" s="145"/>
      <c r="AB282" s="145"/>
      <c r="AC282" s="145"/>
      <c r="AD282" s="145"/>
      <c r="AE282" s="145"/>
      <c r="AF282" s="145"/>
      <c r="AG282" s="145" t="s">
        <v>168</v>
      </c>
      <c r="AH282" s="145"/>
      <c r="AI282" s="145"/>
      <c r="AJ282" s="145"/>
      <c r="AK282" s="145"/>
      <c r="AL282" s="145"/>
      <c r="AM282" s="145"/>
      <c r="AN282" s="145"/>
      <c r="AO282" s="145"/>
      <c r="AP282" s="145"/>
      <c r="AQ282" s="145"/>
      <c r="AR282" s="145"/>
      <c r="AS282" s="145"/>
      <c r="AT282" s="145"/>
      <c r="AU282" s="145"/>
      <c r="AV282" s="145"/>
      <c r="AW282" s="145"/>
      <c r="AX282" s="145"/>
      <c r="AY282" s="145"/>
      <c r="AZ282" s="145"/>
      <c r="BA282" s="145"/>
      <c r="BB282" s="145"/>
      <c r="BC282" s="145"/>
      <c r="BD282" s="145"/>
      <c r="BE282" s="145"/>
      <c r="BF282" s="145"/>
      <c r="BG282" s="145"/>
      <c r="BH282" s="145"/>
    </row>
    <row r="283" spans="1:60" ht="40.799999999999997" outlineLevel="2" x14ac:dyDescent="0.25">
      <c r="A283" s="152"/>
      <c r="B283" s="153"/>
      <c r="C283" s="263" t="s">
        <v>1223</v>
      </c>
      <c r="D283" s="262"/>
      <c r="E283" s="262"/>
      <c r="F283" s="262"/>
      <c r="G283" s="262"/>
      <c r="H283" s="155"/>
      <c r="I283" s="155"/>
      <c r="J283" s="155"/>
      <c r="K283" s="155"/>
      <c r="L283" s="155"/>
      <c r="M283" s="155"/>
      <c r="N283" s="154"/>
      <c r="O283" s="251"/>
      <c r="P283" s="154"/>
      <c r="Q283" s="154"/>
      <c r="R283" s="155"/>
      <c r="S283" s="155"/>
      <c r="T283" s="155"/>
      <c r="U283" s="155"/>
      <c r="V283" s="155"/>
      <c r="W283" s="155"/>
      <c r="X283" s="155"/>
      <c r="Y283" s="155"/>
      <c r="Z283" s="145"/>
      <c r="AA283" s="145"/>
      <c r="AB283" s="145"/>
      <c r="AC283" s="145"/>
      <c r="AD283" s="145"/>
      <c r="AE283" s="145"/>
      <c r="AF283" s="145"/>
      <c r="AG283" s="145"/>
      <c r="AH283" s="145"/>
      <c r="AI283" s="145"/>
      <c r="AJ283" s="145"/>
      <c r="AK283" s="145"/>
      <c r="AL283" s="145"/>
      <c r="AM283" s="145"/>
      <c r="AN283" s="145"/>
      <c r="AO283" s="145"/>
      <c r="AP283" s="145"/>
      <c r="AQ283" s="145"/>
      <c r="AR283" s="145"/>
      <c r="AS283" s="145"/>
      <c r="AT283" s="145"/>
      <c r="AU283" s="145"/>
      <c r="AV283" s="145"/>
      <c r="AW283" s="145"/>
      <c r="AX283" s="145"/>
      <c r="AY283" s="145"/>
      <c r="AZ283" s="145"/>
      <c r="BA283" s="145"/>
      <c r="BB283" s="145"/>
      <c r="BC283" s="145"/>
      <c r="BD283" s="145"/>
      <c r="BE283" s="145"/>
      <c r="BF283" s="145"/>
      <c r="BG283" s="145"/>
      <c r="BH283" s="145"/>
    </row>
    <row r="284" spans="1:60" outlineLevel="2" x14ac:dyDescent="0.25">
      <c r="A284" s="152"/>
      <c r="B284" s="153"/>
      <c r="C284" s="186" t="s">
        <v>567</v>
      </c>
      <c r="D284" s="184"/>
      <c r="E284" s="185">
        <v>280.13499999999999</v>
      </c>
      <c r="F284" s="155"/>
      <c r="G284" s="155"/>
      <c r="H284" s="155"/>
      <c r="I284" s="155"/>
      <c r="J284" s="155"/>
      <c r="K284" s="155"/>
      <c r="L284" s="155"/>
      <c r="M284" s="155"/>
      <c r="N284" s="154"/>
      <c r="O284" s="251"/>
      <c r="P284" s="154"/>
      <c r="Q284" s="154"/>
      <c r="R284" s="155"/>
      <c r="S284" s="155"/>
      <c r="T284" s="155"/>
      <c r="U284" s="155"/>
      <c r="V284" s="155"/>
      <c r="W284" s="155"/>
      <c r="X284" s="155"/>
      <c r="Y284" s="155"/>
      <c r="Z284" s="145"/>
      <c r="AA284" s="145"/>
      <c r="AB284" s="145"/>
      <c r="AC284" s="145"/>
      <c r="AD284" s="145"/>
      <c r="AE284" s="145"/>
      <c r="AF284" s="145"/>
      <c r="AG284" s="145" t="s">
        <v>170</v>
      </c>
      <c r="AH284" s="145">
        <v>5</v>
      </c>
      <c r="AI284" s="145"/>
      <c r="AJ284" s="145"/>
      <c r="AK284" s="145"/>
      <c r="AL284" s="145"/>
      <c r="AM284" s="145"/>
      <c r="AN284" s="145"/>
      <c r="AO284" s="145"/>
      <c r="AP284" s="145"/>
      <c r="AQ284" s="145"/>
      <c r="AR284" s="145"/>
      <c r="AS284" s="145"/>
      <c r="AT284" s="145"/>
      <c r="AU284" s="145"/>
      <c r="AV284" s="145"/>
      <c r="AW284" s="145"/>
      <c r="AX284" s="145"/>
      <c r="AY284" s="145"/>
      <c r="AZ284" s="145"/>
      <c r="BA284" s="145"/>
      <c r="BB284" s="145"/>
      <c r="BC284" s="145"/>
      <c r="BD284" s="145"/>
      <c r="BE284" s="145"/>
      <c r="BF284" s="145"/>
      <c r="BG284" s="145"/>
      <c r="BH284" s="145"/>
    </row>
    <row r="285" spans="1:60" outlineLevel="1" x14ac:dyDescent="0.25">
      <c r="A285" s="166">
        <v>123</v>
      </c>
      <c r="B285" s="167" t="s">
        <v>568</v>
      </c>
      <c r="C285" s="180" t="s">
        <v>569</v>
      </c>
      <c r="D285" s="168" t="s">
        <v>165</v>
      </c>
      <c r="E285" s="169">
        <v>140.0675</v>
      </c>
      <c r="F285" s="170"/>
      <c r="G285" s="171">
        <f>ROUND(E285*F285,2)</f>
        <v>0</v>
      </c>
      <c r="H285" s="156">
        <v>36.29</v>
      </c>
      <c r="I285" s="155">
        <f>ROUND(E285*H285,2)</f>
        <v>5083.05</v>
      </c>
      <c r="J285" s="156">
        <v>52.21</v>
      </c>
      <c r="K285" s="155">
        <f>ROUND(E285*J285,2)</f>
        <v>7312.92</v>
      </c>
      <c r="L285" s="155">
        <v>21</v>
      </c>
      <c r="M285" s="155">
        <f>G285*(1+L285/100)</f>
        <v>0</v>
      </c>
      <c r="N285" s="154">
        <v>3.2000000000000003E-4</v>
      </c>
      <c r="O285" s="251">
        <f>ROUND(E285*N285,2)</f>
        <v>0.04</v>
      </c>
      <c r="P285" s="154">
        <v>0</v>
      </c>
      <c r="Q285" s="154">
        <f>ROUND(E285*P285,2)</f>
        <v>0</v>
      </c>
      <c r="R285" s="155"/>
      <c r="S285" s="155" t="s">
        <v>1198</v>
      </c>
      <c r="T285" s="155" t="s">
        <v>1198</v>
      </c>
      <c r="U285" s="155">
        <v>0.1</v>
      </c>
      <c r="V285" s="155">
        <f>ROUND(E285*U285,2)</f>
        <v>14.01</v>
      </c>
      <c r="W285" s="155"/>
      <c r="X285" s="155" t="s">
        <v>143</v>
      </c>
      <c r="Y285" s="155" t="s">
        <v>144</v>
      </c>
      <c r="Z285" s="145"/>
      <c r="AA285" s="145"/>
      <c r="AB285" s="145"/>
      <c r="AC285" s="145"/>
      <c r="AD285" s="145"/>
      <c r="AE285" s="145"/>
      <c r="AF285" s="145"/>
      <c r="AG285" s="145" t="s">
        <v>145</v>
      </c>
      <c r="AH285" s="145"/>
      <c r="AI285" s="145"/>
      <c r="AJ285" s="145"/>
      <c r="AK285" s="145"/>
      <c r="AL285" s="145"/>
      <c r="AM285" s="145"/>
      <c r="AN285" s="145"/>
      <c r="AO285" s="145"/>
      <c r="AP285" s="145"/>
      <c r="AQ285" s="145"/>
      <c r="AR285" s="145"/>
      <c r="AS285" s="145"/>
      <c r="AT285" s="145"/>
      <c r="AU285" s="145"/>
      <c r="AV285" s="145"/>
      <c r="AW285" s="145"/>
      <c r="AX285" s="145"/>
      <c r="AY285" s="145"/>
      <c r="AZ285" s="145"/>
      <c r="BA285" s="145"/>
      <c r="BB285" s="145"/>
      <c r="BC285" s="145"/>
      <c r="BD285" s="145"/>
      <c r="BE285" s="145"/>
      <c r="BF285" s="145"/>
      <c r="BG285" s="145"/>
      <c r="BH285" s="145"/>
    </row>
    <row r="286" spans="1:60" outlineLevel="2" x14ac:dyDescent="0.25">
      <c r="A286" s="152"/>
      <c r="B286" s="153"/>
      <c r="C286" s="186" t="s">
        <v>570</v>
      </c>
      <c r="D286" s="184"/>
      <c r="E286" s="185">
        <v>140.0675</v>
      </c>
      <c r="F286" s="155"/>
      <c r="G286" s="155"/>
      <c r="H286" s="155"/>
      <c r="I286" s="155"/>
      <c r="J286" s="155"/>
      <c r="K286" s="155"/>
      <c r="L286" s="155"/>
      <c r="M286" s="155"/>
      <c r="N286" s="154"/>
      <c r="O286" s="251"/>
      <c r="P286" s="154"/>
      <c r="Q286" s="154"/>
      <c r="R286" s="155"/>
      <c r="S286" s="155"/>
      <c r="T286" s="155"/>
      <c r="U286" s="155"/>
      <c r="V286" s="155"/>
      <c r="W286" s="155"/>
      <c r="X286" s="155"/>
      <c r="Y286" s="155"/>
      <c r="Z286" s="145"/>
      <c r="AA286" s="145"/>
      <c r="AB286" s="145"/>
      <c r="AC286" s="145"/>
      <c r="AD286" s="145"/>
      <c r="AE286" s="145"/>
      <c r="AF286" s="145"/>
      <c r="AG286" s="145" t="s">
        <v>170</v>
      </c>
      <c r="AH286" s="145">
        <v>5</v>
      </c>
      <c r="AI286" s="145"/>
      <c r="AJ286" s="145"/>
      <c r="AK286" s="145"/>
      <c r="AL286" s="145"/>
      <c r="AM286" s="145"/>
      <c r="AN286" s="145"/>
      <c r="AO286" s="145"/>
      <c r="AP286" s="145"/>
      <c r="AQ286" s="145"/>
      <c r="AR286" s="145"/>
      <c r="AS286" s="145"/>
      <c r="AT286" s="145"/>
      <c r="AU286" s="145"/>
      <c r="AV286" s="145"/>
      <c r="AW286" s="145"/>
      <c r="AX286" s="145"/>
      <c r="AY286" s="145"/>
      <c r="AZ286" s="145"/>
      <c r="BA286" s="145"/>
      <c r="BB286" s="145"/>
      <c r="BC286" s="145"/>
      <c r="BD286" s="145"/>
      <c r="BE286" s="145"/>
      <c r="BF286" s="145"/>
      <c r="BG286" s="145"/>
      <c r="BH286" s="145"/>
    </row>
    <row r="287" spans="1:60" ht="20.399999999999999" outlineLevel="1" x14ac:dyDescent="0.25">
      <c r="A287" s="166">
        <v>124</v>
      </c>
      <c r="B287" s="167" t="s">
        <v>571</v>
      </c>
      <c r="C287" s="180" t="s">
        <v>572</v>
      </c>
      <c r="D287" s="168" t="s">
        <v>165</v>
      </c>
      <c r="E287" s="169">
        <v>37.98348</v>
      </c>
      <c r="F287" s="170"/>
      <c r="G287" s="171">
        <f>ROUND(E287*F287,2)</f>
        <v>0</v>
      </c>
      <c r="H287" s="156">
        <v>61.88</v>
      </c>
      <c r="I287" s="155">
        <f>ROUND(E287*H287,2)</f>
        <v>2350.42</v>
      </c>
      <c r="J287" s="156">
        <v>50.62</v>
      </c>
      <c r="K287" s="155">
        <f>ROUND(E287*J287,2)</f>
        <v>1922.72</v>
      </c>
      <c r="L287" s="155">
        <v>21</v>
      </c>
      <c r="M287" s="155">
        <f>G287*(1+L287/100)</f>
        <v>0</v>
      </c>
      <c r="N287" s="154">
        <v>2.0000000000000001E-4</v>
      </c>
      <c r="O287" s="251">
        <f>ROUND(E287*N287,2)</f>
        <v>0.01</v>
      </c>
      <c r="P287" s="154">
        <v>0</v>
      </c>
      <c r="Q287" s="154">
        <f>ROUND(E287*P287,2)</f>
        <v>0</v>
      </c>
      <c r="R287" s="155"/>
      <c r="S287" s="155" t="s">
        <v>1198</v>
      </c>
      <c r="T287" s="155" t="s">
        <v>1198</v>
      </c>
      <c r="U287" s="155">
        <v>0.09</v>
      </c>
      <c r="V287" s="155">
        <f>ROUND(E287*U287,2)</f>
        <v>3.42</v>
      </c>
      <c r="W287" s="155"/>
      <c r="X287" s="155" t="s">
        <v>143</v>
      </c>
      <c r="Y287" s="155" t="s">
        <v>144</v>
      </c>
      <c r="Z287" s="145"/>
      <c r="AA287" s="145"/>
      <c r="AB287" s="145"/>
      <c r="AC287" s="145"/>
      <c r="AD287" s="145"/>
      <c r="AE287" s="145"/>
      <c r="AF287" s="145"/>
      <c r="AG287" s="145" t="s">
        <v>145</v>
      </c>
      <c r="AH287" s="145"/>
      <c r="AI287" s="145"/>
      <c r="AJ287" s="145"/>
      <c r="AK287" s="145"/>
      <c r="AL287" s="145"/>
      <c r="AM287" s="145"/>
      <c r="AN287" s="145"/>
      <c r="AO287" s="145"/>
      <c r="AP287" s="145"/>
      <c r="AQ287" s="145"/>
      <c r="AR287" s="145"/>
      <c r="AS287" s="145"/>
      <c r="AT287" s="145"/>
      <c r="AU287" s="145"/>
      <c r="AV287" s="145"/>
      <c r="AW287" s="145"/>
      <c r="AX287" s="145"/>
      <c r="AY287" s="145"/>
      <c r="AZ287" s="145"/>
      <c r="BA287" s="145"/>
      <c r="BB287" s="145"/>
      <c r="BC287" s="145"/>
      <c r="BD287" s="145"/>
      <c r="BE287" s="145"/>
      <c r="BF287" s="145"/>
      <c r="BG287" s="145"/>
      <c r="BH287" s="145"/>
    </row>
    <row r="288" spans="1:60" outlineLevel="2" x14ac:dyDescent="0.25">
      <c r="A288" s="152"/>
      <c r="B288" s="153"/>
      <c r="C288" s="186" t="s">
        <v>573</v>
      </c>
      <c r="D288" s="184"/>
      <c r="E288" s="185">
        <v>37.98348</v>
      </c>
      <c r="F288" s="155"/>
      <c r="G288" s="155"/>
      <c r="H288" s="155"/>
      <c r="I288" s="155"/>
      <c r="J288" s="155"/>
      <c r="K288" s="155"/>
      <c r="L288" s="155"/>
      <c r="M288" s="155"/>
      <c r="N288" s="154"/>
      <c r="O288" s="251"/>
      <c r="P288" s="154"/>
      <c r="Q288" s="154"/>
      <c r="R288" s="155"/>
      <c r="S288" s="155"/>
      <c r="T288" s="155"/>
      <c r="U288" s="155"/>
      <c r="V288" s="155"/>
      <c r="W288" s="155"/>
      <c r="X288" s="155"/>
      <c r="Y288" s="155"/>
      <c r="Z288" s="145"/>
      <c r="AA288" s="145"/>
      <c r="AB288" s="145"/>
      <c r="AC288" s="145"/>
      <c r="AD288" s="145"/>
      <c r="AE288" s="145"/>
      <c r="AF288" s="145"/>
      <c r="AG288" s="145" t="s">
        <v>170</v>
      </c>
      <c r="AH288" s="145">
        <v>5</v>
      </c>
      <c r="AI288" s="145"/>
      <c r="AJ288" s="145"/>
      <c r="AK288" s="145"/>
      <c r="AL288" s="145"/>
      <c r="AM288" s="145"/>
      <c r="AN288" s="145"/>
      <c r="AO288" s="145"/>
      <c r="AP288" s="145"/>
      <c r="AQ288" s="145"/>
      <c r="AR288" s="145"/>
      <c r="AS288" s="145"/>
      <c r="AT288" s="145"/>
      <c r="AU288" s="145"/>
      <c r="AV288" s="145"/>
      <c r="AW288" s="145"/>
      <c r="AX288" s="145"/>
      <c r="AY288" s="145"/>
      <c r="AZ288" s="145"/>
      <c r="BA288" s="145"/>
      <c r="BB288" s="145"/>
      <c r="BC288" s="145"/>
      <c r="BD288" s="145"/>
      <c r="BE288" s="145"/>
      <c r="BF288" s="145"/>
      <c r="BG288" s="145"/>
      <c r="BH288" s="145"/>
    </row>
    <row r="289" spans="1:60" x14ac:dyDescent="0.25">
      <c r="A289" s="159" t="s">
        <v>136</v>
      </c>
      <c r="B289" s="160" t="s">
        <v>104</v>
      </c>
      <c r="C289" s="178" t="s">
        <v>105</v>
      </c>
      <c r="D289" s="161"/>
      <c r="E289" s="162"/>
      <c r="F289" s="163"/>
      <c r="G289" s="164">
        <f>SUMIF(AG290:AG291,"&lt;&gt;NOR",G290:G291)</f>
        <v>0</v>
      </c>
      <c r="H289" s="158"/>
      <c r="I289" s="158">
        <f>SUM(I290:I291)</f>
        <v>442.34</v>
      </c>
      <c r="J289" s="158"/>
      <c r="K289" s="158">
        <f>SUM(K290:K291)</f>
        <v>7282.88</v>
      </c>
      <c r="L289" s="158"/>
      <c r="M289" s="158">
        <f>SUM(M290:M291)</f>
        <v>0</v>
      </c>
      <c r="N289" s="157"/>
      <c r="O289" s="252">
        <f>SUM(O290:O291)</f>
        <v>0.03</v>
      </c>
      <c r="P289" s="157"/>
      <c r="Q289" s="157">
        <f>SUM(Q290:Q291)</f>
        <v>0</v>
      </c>
      <c r="R289" s="158"/>
      <c r="S289" s="158"/>
      <c r="T289" s="158"/>
      <c r="U289" s="158"/>
      <c r="V289" s="158">
        <f>SUM(V290:V291)</f>
        <v>10.27</v>
      </c>
      <c r="W289" s="158"/>
      <c r="X289" s="158"/>
      <c r="Y289" s="158"/>
      <c r="AG289" t="s">
        <v>137</v>
      </c>
    </row>
    <row r="290" spans="1:60" outlineLevel="1" x14ac:dyDescent="0.25">
      <c r="A290" s="172">
        <v>125</v>
      </c>
      <c r="B290" s="173" t="s">
        <v>574</v>
      </c>
      <c r="C290" s="179" t="s">
        <v>575</v>
      </c>
      <c r="D290" s="174" t="s">
        <v>165</v>
      </c>
      <c r="E290" s="175">
        <v>78.989999999999995</v>
      </c>
      <c r="F290" s="176"/>
      <c r="G290" s="177">
        <f>ROUND(E290*F290,2)</f>
        <v>0</v>
      </c>
      <c r="H290" s="156">
        <v>5.6</v>
      </c>
      <c r="I290" s="155">
        <f>ROUND(E290*H290,2)</f>
        <v>442.34</v>
      </c>
      <c r="J290" s="156">
        <v>17.7</v>
      </c>
      <c r="K290" s="155">
        <f>ROUND(E290*J290,2)</f>
        <v>1398.12</v>
      </c>
      <c r="L290" s="155">
        <v>21</v>
      </c>
      <c r="M290" s="155">
        <f>G290*(1+L290/100)</f>
        <v>0</v>
      </c>
      <c r="N290" s="154">
        <v>6.9999999999999994E-5</v>
      </c>
      <c r="O290" s="251">
        <f>ROUND(E290*N290,2)</f>
        <v>0.01</v>
      </c>
      <c r="P290" s="154">
        <v>0</v>
      </c>
      <c r="Q290" s="154">
        <f>ROUND(E290*P290,2)</f>
        <v>0</v>
      </c>
      <c r="R290" s="155"/>
      <c r="S290" s="155" t="s">
        <v>1198</v>
      </c>
      <c r="T290" s="155" t="s">
        <v>1198</v>
      </c>
      <c r="U290" s="155">
        <v>0.03</v>
      </c>
      <c r="V290" s="155">
        <f>ROUND(E290*U290,2)</f>
        <v>2.37</v>
      </c>
      <c r="W290" s="155"/>
      <c r="X290" s="155" t="s">
        <v>143</v>
      </c>
      <c r="Y290" s="155" t="s">
        <v>144</v>
      </c>
      <c r="Z290" s="145"/>
      <c r="AA290" s="145"/>
      <c r="AB290" s="145"/>
      <c r="AC290" s="145"/>
      <c r="AD290" s="145"/>
      <c r="AE290" s="145"/>
      <c r="AF290" s="145"/>
      <c r="AG290" s="145" t="s">
        <v>145</v>
      </c>
      <c r="AH290" s="145"/>
      <c r="AI290" s="145"/>
      <c r="AJ290" s="145"/>
      <c r="AK290" s="145"/>
      <c r="AL290" s="145"/>
      <c r="AM290" s="145"/>
      <c r="AN290" s="145"/>
      <c r="AO290" s="145"/>
      <c r="AP290" s="145"/>
      <c r="AQ290" s="145"/>
      <c r="AR290" s="145"/>
      <c r="AS290" s="145"/>
      <c r="AT290" s="145"/>
      <c r="AU290" s="145"/>
      <c r="AV290" s="145"/>
      <c r="AW290" s="145"/>
      <c r="AX290" s="145"/>
      <c r="AY290" s="145"/>
      <c r="AZ290" s="145"/>
      <c r="BA290" s="145"/>
      <c r="BB290" s="145"/>
      <c r="BC290" s="145"/>
      <c r="BD290" s="145"/>
      <c r="BE290" s="145"/>
      <c r="BF290" s="145"/>
      <c r="BG290" s="145"/>
      <c r="BH290" s="145"/>
    </row>
    <row r="291" spans="1:60" ht="20.399999999999999" outlineLevel="1" x14ac:dyDescent="0.25">
      <c r="A291" s="166">
        <v>126</v>
      </c>
      <c r="B291" s="167" t="s">
        <v>576</v>
      </c>
      <c r="C291" s="180" t="s">
        <v>577</v>
      </c>
      <c r="D291" s="168" t="s">
        <v>165</v>
      </c>
      <c r="E291" s="169">
        <v>78.989999999999995</v>
      </c>
      <c r="F291" s="170"/>
      <c r="G291" s="171">
        <f>ROUND(E291*F291,2)</f>
        <v>0</v>
      </c>
      <c r="H291" s="156">
        <v>0</v>
      </c>
      <c r="I291" s="155">
        <f>ROUND(E291*H291,2)</f>
        <v>0</v>
      </c>
      <c r="J291" s="156">
        <v>74.5</v>
      </c>
      <c r="K291" s="155">
        <f>ROUND(E291*J291,2)</f>
        <v>5884.76</v>
      </c>
      <c r="L291" s="155">
        <v>21</v>
      </c>
      <c r="M291" s="155">
        <f>G291*(1+L291/100)</f>
        <v>0</v>
      </c>
      <c r="N291" s="154">
        <v>2.9E-4</v>
      </c>
      <c r="O291" s="251">
        <f>ROUND(E291*N291,2)</f>
        <v>0.02</v>
      </c>
      <c r="P291" s="154">
        <v>0</v>
      </c>
      <c r="Q291" s="154">
        <f>ROUND(E291*P291,2)</f>
        <v>0</v>
      </c>
      <c r="R291" s="155"/>
      <c r="S291" s="155" t="s">
        <v>141</v>
      </c>
      <c r="T291" s="155" t="s">
        <v>1198</v>
      </c>
      <c r="U291" s="155">
        <v>0.1</v>
      </c>
      <c r="V291" s="155">
        <f>ROUND(E291*U291,2)</f>
        <v>7.9</v>
      </c>
      <c r="W291" s="155"/>
      <c r="X291" s="155" t="s">
        <v>143</v>
      </c>
      <c r="Y291" s="155" t="s">
        <v>144</v>
      </c>
      <c r="Z291" s="145"/>
      <c r="AA291" s="145"/>
      <c r="AB291" s="145"/>
      <c r="AC291" s="145"/>
      <c r="AD291" s="145"/>
      <c r="AE291" s="145"/>
      <c r="AF291" s="145"/>
      <c r="AG291" s="145" t="s">
        <v>145</v>
      </c>
      <c r="AH291" s="145"/>
      <c r="AI291" s="145"/>
      <c r="AJ291" s="145"/>
      <c r="AK291" s="145"/>
      <c r="AL291" s="145"/>
      <c r="AM291" s="145"/>
      <c r="AN291" s="145"/>
      <c r="AO291" s="145"/>
      <c r="AP291" s="145"/>
      <c r="AQ291" s="145"/>
      <c r="AR291" s="145"/>
      <c r="AS291" s="145"/>
      <c r="AT291" s="145"/>
      <c r="AU291" s="145"/>
      <c r="AV291" s="145"/>
      <c r="AW291" s="145"/>
      <c r="AX291" s="145"/>
      <c r="AY291" s="145"/>
      <c r="AZ291" s="145"/>
      <c r="BA291" s="145"/>
      <c r="BB291" s="145"/>
      <c r="BC291" s="145"/>
      <c r="BD291" s="145"/>
      <c r="BE291" s="145"/>
      <c r="BF291" s="145"/>
      <c r="BG291" s="145"/>
      <c r="BH291" s="145"/>
    </row>
    <row r="292" spans="1:60" x14ac:dyDescent="0.25">
      <c r="A292" s="3"/>
      <c r="B292" s="4"/>
      <c r="C292" s="181"/>
      <c r="D292" s="6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253"/>
      <c r="P292" s="3"/>
      <c r="Q292" s="3"/>
      <c r="R292" s="3"/>
      <c r="S292" s="3"/>
      <c r="T292" s="3"/>
      <c r="U292" s="3"/>
      <c r="V292" s="3"/>
      <c r="W292" s="3"/>
      <c r="X292" s="3"/>
      <c r="Y292" s="3"/>
      <c r="AE292">
        <v>15</v>
      </c>
      <c r="AF292">
        <v>21</v>
      </c>
      <c r="AG292" t="s">
        <v>122</v>
      </c>
    </row>
    <row r="293" spans="1:60" x14ac:dyDescent="0.25">
      <c r="A293" s="148"/>
      <c r="B293" s="149" t="s">
        <v>31</v>
      </c>
      <c r="C293" s="182"/>
      <c r="D293" s="150"/>
      <c r="E293" s="151"/>
      <c r="F293" s="151"/>
      <c r="G293" s="165">
        <f>G8+G22+G39+G67+G87+G90+G99+G102+G109+G112+G115+G151+G163+G179+G185+G193+G205+G223+G239+G256+G278+G289</f>
        <v>0</v>
      </c>
      <c r="H293" s="3"/>
      <c r="I293" s="3"/>
      <c r="J293" s="3"/>
      <c r="K293" s="3"/>
      <c r="L293" s="3"/>
      <c r="M293" s="3"/>
      <c r="N293" s="3"/>
      <c r="O293" s="253"/>
      <c r="P293" s="3"/>
      <c r="Q293" s="3"/>
      <c r="R293" s="3"/>
      <c r="S293" s="3"/>
      <c r="T293" s="3"/>
      <c r="U293" s="3"/>
      <c r="V293" s="3"/>
      <c r="W293" s="3"/>
      <c r="X293" s="3"/>
      <c r="Y293" s="3"/>
      <c r="AE293">
        <f>SUMIF(L7:L291,AE292,G7:G291)</f>
        <v>0</v>
      </c>
      <c r="AF293">
        <f>SUMIF(L7:L291,AF292,G7:G291)</f>
        <v>0</v>
      </c>
      <c r="AG293" t="s">
        <v>152</v>
      </c>
    </row>
    <row r="294" spans="1:60" x14ac:dyDescent="0.25">
      <c r="A294" s="3"/>
      <c r="B294" s="4"/>
      <c r="C294" s="181"/>
      <c r="D294" s="6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25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60" x14ac:dyDescent="0.25">
      <c r="A295" s="3"/>
      <c r="B295" s="4"/>
      <c r="C295" s="181"/>
      <c r="D295" s="6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25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60" x14ac:dyDescent="0.25">
      <c r="A296" s="583" t="s">
        <v>153</v>
      </c>
      <c r="B296" s="583"/>
      <c r="C296" s="584"/>
      <c r="D296" s="6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25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60" x14ac:dyDescent="0.25">
      <c r="A297" s="562"/>
      <c r="B297" s="563"/>
      <c r="C297" s="564"/>
      <c r="D297" s="563"/>
      <c r="E297" s="563"/>
      <c r="F297" s="563"/>
      <c r="G297" s="565"/>
      <c r="H297" s="3"/>
      <c r="I297" s="3"/>
      <c r="J297" s="3"/>
      <c r="K297" s="3"/>
      <c r="L297" s="3"/>
      <c r="M297" s="3"/>
      <c r="N297" s="3"/>
      <c r="O297" s="253"/>
      <c r="P297" s="3"/>
      <c r="Q297" s="3"/>
      <c r="R297" s="3"/>
      <c r="S297" s="3"/>
      <c r="T297" s="3"/>
      <c r="U297" s="3"/>
      <c r="V297" s="3"/>
      <c r="W297" s="3"/>
      <c r="X297" s="3"/>
      <c r="Y297" s="3"/>
      <c r="AG297" t="s">
        <v>154</v>
      </c>
    </row>
    <row r="298" spans="1:60" x14ac:dyDescent="0.25">
      <c r="A298" s="566"/>
      <c r="B298" s="567"/>
      <c r="C298" s="568"/>
      <c r="D298" s="567"/>
      <c r="E298" s="567"/>
      <c r="F298" s="567"/>
      <c r="G298" s="569"/>
      <c r="H298" s="3"/>
      <c r="I298" s="3"/>
      <c r="J298" s="3"/>
      <c r="K298" s="3"/>
      <c r="L298" s="3"/>
      <c r="M298" s="3"/>
      <c r="N298" s="3"/>
      <c r="O298" s="25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60" x14ac:dyDescent="0.25">
      <c r="A299" s="566"/>
      <c r="B299" s="567"/>
      <c r="C299" s="568"/>
      <c r="D299" s="567"/>
      <c r="E299" s="567"/>
      <c r="F299" s="567"/>
      <c r="G299" s="569"/>
      <c r="H299" s="3"/>
      <c r="I299" s="3"/>
      <c r="J299" s="3"/>
      <c r="K299" s="3"/>
      <c r="L299" s="3"/>
      <c r="M299" s="3"/>
      <c r="N299" s="3"/>
      <c r="O299" s="25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60" x14ac:dyDescent="0.25">
      <c r="A300" s="566"/>
      <c r="B300" s="567"/>
      <c r="C300" s="568"/>
      <c r="D300" s="567"/>
      <c r="E300" s="567"/>
      <c r="F300" s="567"/>
      <c r="G300" s="569"/>
      <c r="H300" s="3"/>
      <c r="I300" s="3"/>
      <c r="J300" s="3"/>
      <c r="K300" s="3"/>
      <c r="L300" s="3"/>
      <c r="M300" s="3"/>
      <c r="N300" s="3"/>
      <c r="O300" s="25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60" x14ac:dyDescent="0.25">
      <c r="A301" s="570"/>
      <c r="B301" s="571"/>
      <c r="C301" s="572"/>
      <c r="D301" s="571"/>
      <c r="E301" s="571"/>
      <c r="F301" s="571"/>
      <c r="G301" s="573"/>
      <c r="H301" s="3"/>
      <c r="I301" s="3"/>
      <c r="J301" s="3"/>
      <c r="K301" s="3"/>
      <c r="L301" s="3"/>
      <c r="M301" s="3"/>
      <c r="N301" s="3"/>
      <c r="O301" s="25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60" x14ac:dyDescent="0.25">
      <c r="A302" s="3"/>
      <c r="B302" s="4"/>
      <c r="C302" s="181"/>
      <c r="D302" s="6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25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60" x14ac:dyDescent="0.25">
      <c r="C303" s="183"/>
      <c r="D303" s="10"/>
      <c r="AG303" t="s">
        <v>155</v>
      </c>
    </row>
    <row r="304" spans="1:60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</sheetData>
  <sheetProtection algorithmName="SHA-512" hashValue="fpBfHgPrT7iwQIyUM0PaSm9lEE6ruAMiIFMPu8PA6G8weWlzjYpNMbSbc/skqJj70SFTZBJ+s6hbX9zOpUmPZQ==" saltValue="ke8fqkY7KgQAPvM6DrxXiA==" spinCount="100000" sheet="1" objects="1" scenarios="1"/>
  <mergeCells count="14">
    <mergeCell ref="A297:G301"/>
    <mergeCell ref="C29:G29"/>
    <mergeCell ref="A1:G1"/>
    <mergeCell ref="C2:G2"/>
    <mergeCell ref="C3:G3"/>
    <mergeCell ref="C4:G4"/>
    <mergeCell ref="A296:C296"/>
    <mergeCell ref="C258:G258"/>
    <mergeCell ref="C282:G282"/>
    <mergeCell ref="C104:G104"/>
    <mergeCell ref="C117:G117"/>
    <mergeCell ref="C155:G155"/>
    <mergeCell ref="C195:G195"/>
    <mergeCell ref="C197:G19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10" sqref="C10"/>
    </sheetView>
  </sheetViews>
  <sheetFormatPr defaultRowHeight="13.2" outlineLevelRow="1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576" t="s">
        <v>7</v>
      </c>
      <c r="B1" s="576"/>
      <c r="C1" s="576"/>
      <c r="D1" s="576"/>
      <c r="E1" s="576"/>
      <c r="F1" s="576"/>
      <c r="G1" s="576"/>
      <c r="AG1" t="s">
        <v>110</v>
      </c>
    </row>
    <row r="2" spans="1:60" ht="25.2" customHeight="1" x14ac:dyDescent="0.25">
      <c r="A2" s="137" t="s">
        <v>8</v>
      </c>
      <c r="B2" s="49" t="s">
        <v>41</v>
      </c>
      <c r="C2" s="577" t="s">
        <v>42</v>
      </c>
      <c r="D2" s="578"/>
      <c r="E2" s="578"/>
      <c r="F2" s="578"/>
      <c r="G2" s="579"/>
      <c r="AG2" t="s">
        <v>111</v>
      </c>
    </row>
    <row r="3" spans="1:60" ht="25.2" customHeight="1" x14ac:dyDescent="0.25">
      <c r="A3" s="137" t="s">
        <v>9</v>
      </c>
      <c r="B3" s="49" t="s">
        <v>41</v>
      </c>
      <c r="C3" s="577" t="s">
        <v>44</v>
      </c>
      <c r="D3" s="578"/>
      <c r="E3" s="578"/>
      <c r="F3" s="578"/>
      <c r="G3" s="579"/>
      <c r="AC3" s="118" t="s">
        <v>111</v>
      </c>
      <c r="AG3" t="s">
        <v>112</v>
      </c>
    </row>
    <row r="4" spans="1:60" ht="25.2" customHeight="1" x14ac:dyDescent="0.25">
      <c r="A4" s="138" t="s">
        <v>10</v>
      </c>
      <c r="B4" s="139" t="s">
        <v>45</v>
      </c>
      <c r="C4" s="580" t="s">
        <v>46</v>
      </c>
      <c r="D4" s="581"/>
      <c r="E4" s="581"/>
      <c r="F4" s="581"/>
      <c r="G4" s="582"/>
      <c r="AG4" t="s">
        <v>113</v>
      </c>
    </row>
    <row r="5" spans="1:60" x14ac:dyDescent="0.25">
      <c r="D5" s="10"/>
    </row>
    <row r="6" spans="1:60" ht="39.6" x14ac:dyDescent="0.25">
      <c r="A6" s="141" t="s">
        <v>114</v>
      </c>
      <c r="B6" s="143" t="s">
        <v>115</v>
      </c>
      <c r="C6" s="143" t="s">
        <v>116</v>
      </c>
      <c r="D6" s="142" t="s">
        <v>117</v>
      </c>
      <c r="E6" s="141" t="s">
        <v>118</v>
      </c>
      <c r="F6" s="140" t="s">
        <v>119</v>
      </c>
      <c r="G6" s="141" t="s">
        <v>31</v>
      </c>
      <c r="H6" s="144" t="s">
        <v>32</v>
      </c>
      <c r="I6" s="144" t="s">
        <v>120</v>
      </c>
      <c r="J6" s="144" t="s">
        <v>33</v>
      </c>
      <c r="K6" s="144" t="s">
        <v>121</v>
      </c>
      <c r="L6" s="144" t="s">
        <v>122</v>
      </c>
      <c r="M6" s="144" t="s">
        <v>123</v>
      </c>
      <c r="N6" s="144" t="s">
        <v>124</v>
      </c>
      <c r="O6" s="144" t="s">
        <v>125</v>
      </c>
      <c r="P6" s="144" t="s">
        <v>126</v>
      </c>
      <c r="Q6" s="144" t="s">
        <v>127</v>
      </c>
      <c r="R6" s="144" t="s">
        <v>128</v>
      </c>
      <c r="S6" s="144" t="s">
        <v>129</v>
      </c>
      <c r="T6" s="144" t="s">
        <v>130</v>
      </c>
      <c r="U6" s="144" t="s">
        <v>131</v>
      </c>
      <c r="V6" s="144" t="s">
        <v>132</v>
      </c>
      <c r="W6" s="144" t="s">
        <v>133</v>
      </c>
      <c r="X6" s="144" t="s">
        <v>134</v>
      </c>
      <c r="Y6" s="144" t="s">
        <v>135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59" t="s">
        <v>136</v>
      </c>
      <c r="B8" s="160" t="s">
        <v>45</v>
      </c>
      <c r="C8" s="178" t="s">
        <v>46</v>
      </c>
      <c r="D8" s="161"/>
      <c r="E8" s="162"/>
      <c r="F8" s="163"/>
      <c r="G8" s="164">
        <f>SUMIF(AG9:AG12,"&lt;&gt;NOR",G9:G12)</f>
        <v>0</v>
      </c>
      <c r="H8" s="158"/>
      <c r="I8" s="158">
        <f>SUM(I9:I12)</f>
        <v>0</v>
      </c>
      <c r="J8" s="158"/>
      <c r="K8" s="158">
        <f>SUM(K9:K12)</f>
        <v>1823918.8199999998</v>
      </c>
      <c r="L8" s="158"/>
      <c r="M8" s="158">
        <f>SUM(M9:M12)</f>
        <v>0</v>
      </c>
      <c r="N8" s="157"/>
      <c r="O8" s="157">
        <f>SUM(O9:O12)</f>
        <v>0</v>
      </c>
      <c r="P8" s="157"/>
      <c r="Q8" s="157">
        <f>SUM(Q9:Q12)</f>
        <v>0</v>
      </c>
      <c r="R8" s="158"/>
      <c r="S8" s="158"/>
      <c r="T8" s="158"/>
      <c r="U8" s="158"/>
      <c r="V8" s="158">
        <f>SUM(V9:V12)</f>
        <v>0</v>
      </c>
      <c r="W8" s="158"/>
      <c r="X8" s="158"/>
      <c r="Y8" s="158"/>
      <c r="AG8" t="s">
        <v>137</v>
      </c>
    </row>
    <row r="9" spans="1:60" outlineLevel="1" x14ac:dyDescent="0.25">
      <c r="A9" s="172">
        <v>1</v>
      </c>
      <c r="B9" s="173" t="s">
        <v>138</v>
      </c>
      <c r="C9" s="179" t="s">
        <v>139</v>
      </c>
      <c r="D9" s="174" t="s">
        <v>140</v>
      </c>
      <c r="E9" s="175">
        <v>1</v>
      </c>
      <c r="F9" s="195">
        <f>'D 1.4.1 ZTI'!K179</f>
        <v>0</v>
      </c>
      <c r="G9" s="177">
        <f>ROUND(E9*F9,2)</f>
        <v>0</v>
      </c>
      <c r="H9" s="156">
        <v>0</v>
      </c>
      <c r="I9" s="155">
        <f>ROUND(E9*H9,2)</f>
        <v>0</v>
      </c>
      <c r="J9" s="156">
        <v>730000</v>
      </c>
      <c r="K9" s="155">
        <f>ROUND(E9*J9,2)</f>
        <v>730000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141</v>
      </c>
      <c r="T9" s="155" t="s">
        <v>142</v>
      </c>
      <c r="U9" s="155">
        <v>0</v>
      </c>
      <c r="V9" s="155">
        <f>ROUND(E9*U9,2)</f>
        <v>0</v>
      </c>
      <c r="W9" s="155"/>
      <c r="X9" s="155" t="s">
        <v>143</v>
      </c>
      <c r="Y9" s="155" t="s">
        <v>144</v>
      </c>
      <c r="Z9" s="145"/>
      <c r="AA9" s="145"/>
      <c r="AB9" s="145"/>
      <c r="AC9" s="145"/>
      <c r="AD9" s="145"/>
      <c r="AE9" s="145"/>
      <c r="AF9" s="145"/>
      <c r="AG9" s="145" t="s">
        <v>145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5">
      <c r="A10" s="172">
        <v>2</v>
      </c>
      <c r="B10" s="173" t="s">
        <v>146</v>
      </c>
      <c r="C10" s="179" t="s">
        <v>147</v>
      </c>
      <c r="D10" s="174" t="s">
        <v>140</v>
      </c>
      <c r="E10" s="175">
        <v>1</v>
      </c>
      <c r="F10" s="195">
        <f>'D 1.4.2 Elektroinstalace'!K5</f>
        <v>0</v>
      </c>
      <c r="G10" s="177">
        <f>ROUND(E10*F10,2)</f>
        <v>0</v>
      </c>
      <c r="H10" s="156">
        <v>0</v>
      </c>
      <c r="I10" s="155">
        <f>ROUND(E10*H10,2)</f>
        <v>0</v>
      </c>
      <c r="J10" s="156">
        <v>341066</v>
      </c>
      <c r="K10" s="155">
        <f>ROUND(E10*J10,2)</f>
        <v>341066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141</v>
      </c>
      <c r="T10" s="155" t="s">
        <v>142</v>
      </c>
      <c r="U10" s="155">
        <v>0</v>
      </c>
      <c r="V10" s="155">
        <f>ROUND(E10*U10,2)</f>
        <v>0</v>
      </c>
      <c r="W10" s="155"/>
      <c r="X10" s="155" t="s">
        <v>143</v>
      </c>
      <c r="Y10" s="155" t="s">
        <v>144</v>
      </c>
      <c r="Z10" s="145"/>
      <c r="AA10" s="145"/>
      <c r="AB10" s="145"/>
      <c r="AC10" s="145"/>
      <c r="AD10" s="145"/>
      <c r="AE10" s="145"/>
      <c r="AF10" s="145"/>
      <c r="AG10" s="145" t="s">
        <v>145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5">
      <c r="A11" s="172">
        <v>3</v>
      </c>
      <c r="B11" s="173" t="s">
        <v>148</v>
      </c>
      <c r="C11" s="179" t="s">
        <v>149</v>
      </c>
      <c r="D11" s="174" t="s">
        <v>140</v>
      </c>
      <c r="E11" s="175">
        <v>1</v>
      </c>
      <c r="F11" s="195">
        <f>'D 1.4.4 Vzduchotechnika'!G31</f>
        <v>0</v>
      </c>
      <c r="G11" s="177">
        <f>ROUND(E11*F11,2)</f>
        <v>0</v>
      </c>
      <c r="H11" s="156">
        <v>0</v>
      </c>
      <c r="I11" s="155">
        <f>ROUND(E11*H11,2)</f>
        <v>0</v>
      </c>
      <c r="J11" s="156">
        <v>146959.25</v>
      </c>
      <c r="K11" s="155">
        <f>ROUND(E11*J11,2)</f>
        <v>146959.25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141</v>
      </c>
      <c r="T11" s="155" t="s">
        <v>142</v>
      </c>
      <c r="U11" s="155">
        <v>0</v>
      </c>
      <c r="V11" s="155">
        <f>ROUND(E11*U11,2)</f>
        <v>0</v>
      </c>
      <c r="W11" s="155"/>
      <c r="X11" s="155" t="s">
        <v>143</v>
      </c>
      <c r="Y11" s="155" t="s">
        <v>144</v>
      </c>
      <c r="Z11" s="145"/>
      <c r="AA11" s="145"/>
      <c r="AB11" s="145"/>
      <c r="AC11" s="145"/>
      <c r="AD11" s="145"/>
      <c r="AE11" s="145"/>
      <c r="AF11" s="145"/>
      <c r="AG11" s="145" t="s">
        <v>145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5">
      <c r="A12" s="166">
        <v>4</v>
      </c>
      <c r="B12" s="167" t="s">
        <v>150</v>
      </c>
      <c r="C12" s="180" t="s">
        <v>151</v>
      </c>
      <c r="D12" s="168" t="s">
        <v>140</v>
      </c>
      <c r="E12" s="169">
        <v>1</v>
      </c>
      <c r="F12" s="197">
        <f>'D 1.4.5 Slaboproud'!F4+'D 1.4.5 Slaboproud'!H4</f>
        <v>0</v>
      </c>
      <c r="G12" s="171">
        <f>ROUND(E12*F12,2)</f>
        <v>0</v>
      </c>
      <c r="H12" s="156">
        <v>0</v>
      </c>
      <c r="I12" s="155">
        <f>ROUND(E12*H12,2)</f>
        <v>0</v>
      </c>
      <c r="J12" s="156">
        <v>605893.56999999995</v>
      </c>
      <c r="K12" s="155">
        <f>ROUND(E12*J12,2)</f>
        <v>605893.56999999995</v>
      </c>
      <c r="L12" s="155">
        <v>21</v>
      </c>
      <c r="M12" s="155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5"/>
      <c r="S12" s="155" t="s">
        <v>141</v>
      </c>
      <c r="T12" s="155" t="s">
        <v>142</v>
      </c>
      <c r="U12" s="155">
        <v>0</v>
      </c>
      <c r="V12" s="155">
        <f>ROUND(E12*U12,2)</f>
        <v>0</v>
      </c>
      <c r="W12" s="155"/>
      <c r="X12" s="155" t="s">
        <v>143</v>
      </c>
      <c r="Y12" s="155" t="s">
        <v>144</v>
      </c>
      <c r="Z12" s="145"/>
      <c r="AA12" s="145"/>
      <c r="AB12" s="145"/>
      <c r="AC12" s="145"/>
      <c r="AD12" s="145"/>
      <c r="AE12" s="145"/>
      <c r="AF12" s="145"/>
      <c r="AG12" s="145" t="s">
        <v>145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x14ac:dyDescent="0.25">
      <c r="A13" s="3"/>
      <c r="B13" s="4"/>
      <c r="C13" s="181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v>15</v>
      </c>
      <c r="AF13">
        <v>21</v>
      </c>
      <c r="AG13" t="s">
        <v>122</v>
      </c>
    </row>
    <row r="14" spans="1:60" x14ac:dyDescent="0.25">
      <c r="A14" s="148"/>
      <c r="B14" s="149" t="s">
        <v>31</v>
      </c>
      <c r="C14" s="182"/>
      <c r="D14" s="150"/>
      <c r="E14" s="151"/>
      <c r="F14" s="151"/>
      <c r="G14" s="165">
        <f>G8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E14">
        <f>SUMIF(L7:L12,AE13,G7:G12)</f>
        <v>0</v>
      </c>
      <c r="AF14">
        <f>SUMIF(L7:L12,AF13,G7:G12)</f>
        <v>0</v>
      </c>
      <c r="AG14" t="s">
        <v>152</v>
      </c>
    </row>
    <row r="15" spans="1:60" x14ac:dyDescent="0.25">
      <c r="A15" s="3"/>
      <c r="B15" s="4"/>
      <c r="C15" s="181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5">
      <c r="A16" s="3"/>
      <c r="B16" s="4"/>
      <c r="C16" s="181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5">
      <c r="A17" s="583" t="s">
        <v>153</v>
      </c>
      <c r="B17" s="583"/>
      <c r="C17" s="584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5">
      <c r="A18" s="562"/>
      <c r="B18" s="563"/>
      <c r="C18" s="564"/>
      <c r="D18" s="563"/>
      <c r="E18" s="563"/>
      <c r="F18" s="563"/>
      <c r="G18" s="565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G18" t="s">
        <v>154</v>
      </c>
    </row>
    <row r="19" spans="1:33" x14ac:dyDescent="0.25">
      <c r="A19" s="566"/>
      <c r="B19" s="567"/>
      <c r="C19" s="568"/>
      <c r="D19" s="567"/>
      <c r="E19" s="567"/>
      <c r="F19" s="567"/>
      <c r="G19" s="569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566"/>
      <c r="B20" s="567"/>
      <c r="C20" s="568"/>
      <c r="D20" s="567"/>
      <c r="E20" s="567"/>
      <c r="F20" s="567"/>
      <c r="G20" s="56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A21" s="566"/>
      <c r="B21" s="567"/>
      <c r="C21" s="568"/>
      <c r="D21" s="567"/>
      <c r="E21" s="567"/>
      <c r="F21" s="567"/>
      <c r="G21" s="569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5">
      <c r="A22" s="570"/>
      <c r="B22" s="571"/>
      <c r="C22" s="572"/>
      <c r="D22" s="571"/>
      <c r="E22" s="571"/>
      <c r="F22" s="571"/>
      <c r="G22" s="57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5">
      <c r="A23" s="3"/>
      <c r="B23" s="4"/>
      <c r="C23" s="181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5">
      <c r="C24" s="183"/>
      <c r="D24" s="10"/>
      <c r="AG24" t="s">
        <v>155</v>
      </c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XCC+YBNA8O/XZ+2sVXe8oka+5oRM0Wc6RfJAdb7TtGep8r6+DCzwLsU2q59GwuVL348db0xzWJ/bQXIL1HFgWw==" saltValue="s0TaYgheWtNZTZGXx8dt0A==" spinCount="100000" sheet="1" objects="1" scenarios="1"/>
  <mergeCells count="6">
    <mergeCell ref="A18:G22"/>
    <mergeCell ref="A1:G1"/>
    <mergeCell ref="C2:G2"/>
    <mergeCell ref="C3:G3"/>
    <mergeCell ref="C4:G4"/>
    <mergeCell ref="A17:C1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179"/>
  <sheetViews>
    <sheetView topLeftCell="A148" zoomScaleNormal="100" workbookViewId="0">
      <selection activeCell="H173" sqref="H173"/>
    </sheetView>
  </sheetViews>
  <sheetFormatPr defaultColWidth="11" defaultRowHeight="14.4" x14ac:dyDescent="0.3"/>
  <cols>
    <col min="1" max="1" width="3.88671875" style="207" customWidth="1"/>
    <col min="2" max="2" width="15.5546875" style="207" customWidth="1"/>
    <col min="3" max="3" width="64.6640625" style="207" customWidth="1"/>
    <col min="4" max="7" width="10.33203125" style="207" customWidth="1"/>
    <col min="8" max="8" width="3.88671875" style="207" customWidth="1"/>
    <col min="9" max="9" width="11.6640625" style="207" customWidth="1"/>
    <col min="10" max="10" width="13.109375" style="207" customWidth="1"/>
    <col min="11" max="11" width="14" style="207" customWidth="1"/>
    <col min="230" max="254" width="11" style="207" hidden="1" customWidth="1"/>
    <col min="257" max="257" width="3.88671875" customWidth="1"/>
    <col min="258" max="258" width="15.5546875" customWidth="1"/>
    <col min="259" max="259" width="64.6640625" customWidth="1"/>
    <col min="260" max="263" width="10.33203125" customWidth="1"/>
    <col min="264" max="264" width="3.88671875" customWidth="1"/>
    <col min="265" max="265" width="11.6640625" customWidth="1"/>
    <col min="266" max="267" width="20.6640625" customWidth="1"/>
    <col min="486" max="510" width="0" hidden="1" customWidth="1"/>
    <col min="513" max="513" width="3.88671875" customWidth="1"/>
    <col min="514" max="514" width="15.5546875" customWidth="1"/>
    <col min="515" max="515" width="64.6640625" customWidth="1"/>
    <col min="516" max="519" width="10.33203125" customWidth="1"/>
    <col min="520" max="520" width="3.88671875" customWidth="1"/>
    <col min="521" max="521" width="11.6640625" customWidth="1"/>
    <col min="522" max="523" width="20.6640625" customWidth="1"/>
    <col min="742" max="766" width="0" hidden="1" customWidth="1"/>
    <col min="769" max="769" width="3.88671875" customWidth="1"/>
    <col min="770" max="770" width="15.5546875" customWidth="1"/>
    <col min="771" max="771" width="64.6640625" customWidth="1"/>
    <col min="772" max="775" width="10.33203125" customWidth="1"/>
    <col min="776" max="776" width="3.88671875" customWidth="1"/>
    <col min="777" max="777" width="11.6640625" customWidth="1"/>
    <col min="778" max="779" width="20.6640625" customWidth="1"/>
    <col min="998" max="1022" width="0" hidden="1" customWidth="1"/>
    <col min="1025" max="1025" width="3.88671875" customWidth="1"/>
    <col min="1026" max="1026" width="15.5546875" customWidth="1"/>
    <col min="1027" max="1027" width="64.6640625" customWidth="1"/>
    <col min="1028" max="1031" width="10.33203125" customWidth="1"/>
    <col min="1032" max="1032" width="3.88671875" customWidth="1"/>
    <col min="1033" max="1033" width="11.6640625" customWidth="1"/>
    <col min="1034" max="1035" width="20.6640625" customWidth="1"/>
    <col min="1254" max="1278" width="0" hidden="1" customWidth="1"/>
    <col min="1281" max="1281" width="3.88671875" customWidth="1"/>
    <col min="1282" max="1282" width="15.5546875" customWidth="1"/>
    <col min="1283" max="1283" width="64.6640625" customWidth="1"/>
    <col min="1284" max="1287" width="10.33203125" customWidth="1"/>
    <col min="1288" max="1288" width="3.88671875" customWidth="1"/>
    <col min="1289" max="1289" width="11.6640625" customWidth="1"/>
    <col min="1290" max="1291" width="20.6640625" customWidth="1"/>
    <col min="1510" max="1534" width="0" hidden="1" customWidth="1"/>
    <col min="1537" max="1537" width="3.88671875" customWidth="1"/>
    <col min="1538" max="1538" width="15.5546875" customWidth="1"/>
    <col min="1539" max="1539" width="64.6640625" customWidth="1"/>
    <col min="1540" max="1543" width="10.33203125" customWidth="1"/>
    <col min="1544" max="1544" width="3.88671875" customWidth="1"/>
    <col min="1545" max="1545" width="11.6640625" customWidth="1"/>
    <col min="1546" max="1547" width="20.6640625" customWidth="1"/>
    <col min="1766" max="1790" width="0" hidden="1" customWidth="1"/>
    <col min="1793" max="1793" width="3.88671875" customWidth="1"/>
    <col min="1794" max="1794" width="15.5546875" customWidth="1"/>
    <col min="1795" max="1795" width="64.6640625" customWidth="1"/>
    <col min="1796" max="1799" width="10.33203125" customWidth="1"/>
    <col min="1800" max="1800" width="3.88671875" customWidth="1"/>
    <col min="1801" max="1801" width="11.6640625" customWidth="1"/>
    <col min="1802" max="1803" width="20.6640625" customWidth="1"/>
    <col min="2022" max="2046" width="0" hidden="1" customWidth="1"/>
    <col min="2049" max="2049" width="3.88671875" customWidth="1"/>
    <col min="2050" max="2050" width="15.5546875" customWidth="1"/>
    <col min="2051" max="2051" width="64.6640625" customWidth="1"/>
    <col min="2052" max="2055" width="10.33203125" customWidth="1"/>
    <col min="2056" max="2056" width="3.88671875" customWidth="1"/>
    <col min="2057" max="2057" width="11.6640625" customWidth="1"/>
    <col min="2058" max="2059" width="20.6640625" customWidth="1"/>
    <col min="2278" max="2302" width="0" hidden="1" customWidth="1"/>
    <col min="2305" max="2305" width="3.88671875" customWidth="1"/>
    <col min="2306" max="2306" width="15.5546875" customWidth="1"/>
    <col min="2307" max="2307" width="64.6640625" customWidth="1"/>
    <col min="2308" max="2311" width="10.33203125" customWidth="1"/>
    <col min="2312" max="2312" width="3.88671875" customWidth="1"/>
    <col min="2313" max="2313" width="11.6640625" customWidth="1"/>
    <col min="2314" max="2315" width="20.6640625" customWidth="1"/>
    <col min="2534" max="2558" width="0" hidden="1" customWidth="1"/>
    <col min="2561" max="2561" width="3.88671875" customWidth="1"/>
    <col min="2562" max="2562" width="15.5546875" customWidth="1"/>
    <col min="2563" max="2563" width="64.6640625" customWidth="1"/>
    <col min="2564" max="2567" width="10.33203125" customWidth="1"/>
    <col min="2568" max="2568" width="3.88671875" customWidth="1"/>
    <col min="2569" max="2569" width="11.6640625" customWidth="1"/>
    <col min="2570" max="2571" width="20.6640625" customWidth="1"/>
    <col min="2790" max="2814" width="0" hidden="1" customWidth="1"/>
    <col min="2817" max="2817" width="3.88671875" customWidth="1"/>
    <col min="2818" max="2818" width="15.5546875" customWidth="1"/>
    <col min="2819" max="2819" width="64.6640625" customWidth="1"/>
    <col min="2820" max="2823" width="10.33203125" customWidth="1"/>
    <col min="2824" max="2824" width="3.88671875" customWidth="1"/>
    <col min="2825" max="2825" width="11.6640625" customWidth="1"/>
    <col min="2826" max="2827" width="20.6640625" customWidth="1"/>
    <col min="3046" max="3070" width="0" hidden="1" customWidth="1"/>
    <col min="3073" max="3073" width="3.88671875" customWidth="1"/>
    <col min="3074" max="3074" width="15.5546875" customWidth="1"/>
    <col min="3075" max="3075" width="64.6640625" customWidth="1"/>
    <col min="3076" max="3079" width="10.33203125" customWidth="1"/>
    <col min="3080" max="3080" width="3.88671875" customWidth="1"/>
    <col min="3081" max="3081" width="11.6640625" customWidth="1"/>
    <col min="3082" max="3083" width="20.6640625" customWidth="1"/>
    <col min="3302" max="3326" width="0" hidden="1" customWidth="1"/>
    <col min="3329" max="3329" width="3.88671875" customWidth="1"/>
    <col min="3330" max="3330" width="15.5546875" customWidth="1"/>
    <col min="3331" max="3331" width="64.6640625" customWidth="1"/>
    <col min="3332" max="3335" width="10.33203125" customWidth="1"/>
    <col min="3336" max="3336" width="3.88671875" customWidth="1"/>
    <col min="3337" max="3337" width="11.6640625" customWidth="1"/>
    <col min="3338" max="3339" width="20.6640625" customWidth="1"/>
    <col min="3558" max="3582" width="0" hidden="1" customWidth="1"/>
    <col min="3585" max="3585" width="3.88671875" customWidth="1"/>
    <col min="3586" max="3586" width="15.5546875" customWidth="1"/>
    <col min="3587" max="3587" width="64.6640625" customWidth="1"/>
    <col min="3588" max="3591" width="10.33203125" customWidth="1"/>
    <col min="3592" max="3592" width="3.88671875" customWidth="1"/>
    <col min="3593" max="3593" width="11.6640625" customWidth="1"/>
    <col min="3594" max="3595" width="20.6640625" customWidth="1"/>
    <col min="3814" max="3838" width="0" hidden="1" customWidth="1"/>
    <col min="3841" max="3841" width="3.88671875" customWidth="1"/>
    <col min="3842" max="3842" width="15.5546875" customWidth="1"/>
    <col min="3843" max="3843" width="64.6640625" customWidth="1"/>
    <col min="3844" max="3847" width="10.33203125" customWidth="1"/>
    <col min="3848" max="3848" width="3.88671875" customWidth="1"/>
    <col min="3849" max="3849" width="11.6640625" customWidth="1"/>
    <col min="3850" max="3851" width="20.6640625" customWidth="1"/>
    <col min="4070" max="4094" width="0" hidden="1" customWidth="1"/>
    <col min="4097" max="4097" width="3.88671875" customWidth="1"/>
    <col min="4098" max="4098" width="15.5546875" customWidth="1"/>
    <col min="4099" max="4099" width="64.6640625" customWidth="1"/>
    <col min="4100" max="4103" width="10.33203125" customWidth="1"/>
    <col min="4104" max="4104" width="3.88671875" customWidth="1"/>
    <col min="4105" max="4105" width="11.6640625" customWidth="1"/>
    <col min="4106" max="4107" width="20.6640625" customWidth="1"/>
    <col min="4326" max="4350" width="0" hidden="1" customWidth="1"/>
    <col min="4353" max="4353" width="3.88671875" customWidth="1"/>
    <col min="4354" max="4354" width="15.5546875" customWidth="1"/>
    <col min="4355" max="4355" width="64.6640625" customWidth="1"/>
    <col min="4356" max="4359" width="10.33203125" customWidth="1"/>
    <col min="4360" max="4360" width="3.88671875" customWidth="1"/>
    <col min="4361" max="4361" width="11.6640625" customWidth="1"/>
    <col min="4362" max="4363" width="20.6640625" customWidth="1"/>
    <col min="4582" max="4606" width="0" hidden="1" customWidth="1"/>
    <col min="4609" max="4609" width="3.88671875" customWidth="1"/>
    <col min="4610" max="4610" width="15.5546875" customWidth="1"/>
    <col min="4611" max="4611" width="64.6640625" customWidth="1"/>
    <col min="4612" max="4615" width="10.33203125" customWidth="1"/>
    <col min="4616" max="4616" width="3.88671875" customWidth="1"/>
    <col min="4617" max="4617" width="11.6640625" customWidth="1"/>
    <col min="4618" max="4619" width="20.6640625" customWidth="1"/>
    <col min="4838" max="4862" width="0" hidden="1" customWidth="1"/>
    <col min="4865" max="4865" width="3.88671875" customWidth="1"/>
    <col min="4866" max="4866" width="15.5546875" customWidth="1"/>
    <col min="4867" max="4867" width="64.6640625" customWidth="1"/>
    <col min="4868" max="4871" width="10.33203125" customWidth="1"/>
    <col min="4872" max="4872" width="3.88671875" customWidth="1"/>
    <col min="4873" max="4873" width="11.6640625" customWidth="1"/>
    <col min="4874" max="4875" width="20.6640625" customWidth="1"/>
    <col min="5094" max="5118" width="0" hidden="1" customWidth="1"/>
    <col min="5121" max="5121" width="3.88671875" customWidth="1"/>
    <col min="5122" max="5122" width="15.5546875" customWidth="1"/>
    <col min="5123" max="5123" width="64.6640625" customWidth="1"/>
    <col min="5124" max="5127" width="10.33203125" customWidth="1"/>
    <col min="5128" max="5128" width="3.88671875" customWidth="1"/>
    <col min="5129" max="5129" width="11.6640625" customWidth="1"/>
    <col min="5130" max="5131" width="20.6640625" customWidth="1"/>
    <col min="5350" max="5374" width="0" hidden="1" customWidth="1"/>
    <col min="5377" max="5377" width="3.88671875" customWidth="1"/>
    <col min="5378" max="5378" width="15.5546875" customWidth="1"/>
    <col min="5379" max="5379" width="64.6640625" customWidth="1"/>
    <col min="5380" max="5383" width="10.33203125" customWidth="1"/>
    <col min="5384" max="5384" width="3.88671875" customWidth="1"/>
    <col min="5385" max="5385" width="11.6640625" customWidth="1"/>
    <col min="5386" max="5387" width="20.6640625" customWidth="1"/>
    <col min="5606" max="5630" width="0" hidden="1" customWidth="1"/>
    <col min="5633" max="5633" width="3.88671875" customWidth="1"/>
    <col min="5634" max="5634" width="15.5546875" customWidth="1"/>
    <col min="5635" max="5635" width="64.6640625" customWidth="1"/>
    <col min="5636" max="5639" width="10.33203125" customWidth="1"/>
    <col min="5640" max="5640" width="3.88671875" customWidth="1"/>
    <col min="5641" max="5641" width="11.6640625" customWidth="1"/>
    <col min="5642" max="5643" width="20.6640625" customWidth="1"/>
    <col min="5862" max="5886" width="0" hidden="1" customWidth="1"/>
    <col min="5889" max="5889" width="3.88671875" customWidth="1"/>
    <col min="5890" max="5890" width="15.5546875" customWidth="1"/>
    <col min="5891" max="5891" width="64.6640625" customWidth="1"/>
    <col min="5892" max="5895" width="10.33203125" customWidth="1"/>
    <col min="5896" max="5896" width="3.88671875" customWidth="1"/>
    <col min="5897" max="5897" width="11.6640625" customWidth="1"/>
    <col min="5898" max="5899" width="20.6640625" customWidth="1"/>
    <col min="6118" max="6142" width="0" hidden="1" customWidth="1"/>
    <col min="6145" max="6145" width="3.88671875" customWidth="1"/>
    <col min="6146" max="6146" width="15.5546875" customWidth="1"/>
    <col min="6147" max="6147" width="64.6640625" customWidth="1"/>
    <col min="6148" max="6151" width="10.33203125" customWidth="1"/>
    <col min="6152" max="6152" width="3.88671875" customWidth="1"/>
    <col min="6153" max="6153" width="11.6640625" customWidth="1"/>
    <col min="6154" max="6155" width="20.6640625" customWidth="1"/>
    <col min="6374" max="6398" width="0" hidden="1" customWidth="1"/>
    <col min="6401" max="6401" width="3.88671875" customWidth="1"/>
    <col min="6402" max="6402" width="15.5546875" customWidth="1"/>
    <col min="6403" max="6403" width="64.6640625" customWidth="1"/>
    <col min="6404" max="6407" width="10.33203125" customWidth="1"/>
    <col min="6408" max="6408" width="3.88671875" customWidth="1"/>
    <col min="6409" max="6409" width="11.6640625" customWidth="1"/>
    <col min="6410" max="6411" width="20.6640625" customWidth="1"/>
    <col min="6630" max="6654" width="0" hidden="1" customWidth="1"/>
    <col min="6657" max="6657" width="3.88671875" customWidth="1"/>
    <col min="6658" max="6658" width="15.5546875" customWidth="1"/>
    <col min="6659" max="6659" width="64.6640625" customWidth="1"/>
    <col min="6660" max="6663" width="10.33203125" customWidth="1"/>
    <col min="6664" max="6664" width="3.88671875" customWidth="1"/>
    <col min="6665" max="6665" width="11.6640625" customWidth="1"/>
    <col min="6666" max="6667" width="20.6640625" customWidth="1"/>
    <col min="6886" max="6910" width="0" hidden="1" customWidth="1"/>
    <col min="6913" max="6913" width="3.88671875" customWidth="1"/>
    <col min="6914" max="6914" width="15.5546875" customWidth="1"/>
    <col min="6915" max="6915" width="64.6640625" customWidth="1"/>
    <col min="6916" max="6919" width="10.33203125" customWidth="1"/>
    <col min="6920" max="6920" width="3.88671875" customWidth="1"/>
    <col min="6921" max="6921" width="11.6640625" customWidth="1"/>
    <col min="6922" max="6923" width="20.6640625" customWidth="1"/>
    <col min="7142" max="7166" width="0" hidden="1" customWidth="1"/>
    <col min="7169" max="7169" width="3.88671875" customWidth="1"/>
    <col min="7170" max="7170" width="15.5546875" customWidth="1"/>
    <col min="7171" max="7171" width="64.6640625" customWidth="1"/>
    <col min="7172" max="7175" width="10.33203125" customWidth="1"/>
    <col min="7176" max="7176" width="3.88671875" customWidth="1"/>
    <col min="7177" max="7177" width="11.6640625" customWidth="1"/>
    <col min="7178" max="7179" width="20.6640625" customWidth="1"/>
    <col min="7398" max="7422" width="0" hidden="1" customWidth="1"/>
    <col min="7425" max="7425" width="3.88671875" customWidth="1"/>
    <col min="7426" max="7426" width="15.5546875" customWidth="1"/>
    <col min="7427" max="7427" width="64.6640625" customWidth="1"/>
    <col min="7428" max="7431" width="10.33203125" customWidth="1"/>
    <col min="7432" max="7432" width="3.88671875" customWidth="1"/>
    <col min="7433" max="7433" width="11.6640625" customWidth="1"/>
    <col min="7434" max="7435" width="20.6640625" customWidth="1"/>
    <col min="7654" max="7678" width="0" hidden="1" customWidth="1"/>
    <col min="7681" max="7681" width="3.88671875" customWidth="1"/>
    <col min="7682" max="7682" width="15.5546875" customWidth="1"/>
    <col min="7683" max="7683" width="64.6640625" customWidth="1"/>
    <col min="7684" max="7687" width="10.33203125" customWidth="1"/>
    <col min="7688" max="7688" width="3.88671875" customWidth="1"/>
    <col min="7689" max="7689" width="11.6640625" customWidth="1"/>
    <col min="7690" max="7691" width="20.6640625" customWidth="1"/>
    <col min="7910" max="7934" width="0" hidden="1" customWidth="1"/>
    <col min="7937" max="7937" width="3.88671875" customWidth="1"/>
    <col min="7938" max="7938" width="15.5546875" customWidth="1"/>
    <col min="7939" max="7939" width="64.6640625" customWidth="1"/>
    <col min="7940" max="7943" width="10.33203125" customWidth="1"/>
    <col min="7944" max="7944" width="3.88671875" customWidth="1"/>
    <col min="7945" max="7945" width="11.6640625" customWidth="1"/>
    <col min="7946" max="7947" width="20.6640625" customWidth="1"/>
    <col min="8166" max="8190" width="0" hidden="1" customWidth="1"/>
    <col min="8193" max="8193" width="3.88671875" customWidth="1"/>
    <col min="8194" max="8194" width="15.5546875" customWidth="1"/>
    <col min="8195" max="8195" width="64.6640625" customWidth="1"/>
    <col min="8196" max="8199" width="10.33203125" customWidth="1"/>
    <col min="8200" max="8200" width="3.88671875" customWidth="1"/>
    <col min="8201" max="8201" width="11.6640625" customWidth="1"/>
    <col min="8202" max="8203" width="20.6640625" customWidth="1"/>
    <col min="8422" max="8446" width="0" hidden="1" customWidth="1"/>
    <col min="8449" max="8449" width="3.88671875" customWidth="1"/>
    <col min="8450" max="8450" width="15.5546875" customWidth="1"/>
    <col min="8451" max="8451" width="64.6640625" customWidth="1"/>
    <col min="8452" max="8455" width="10.33203125" customWidth="1"/>
    <col min="8456" max="8456" width="3.88671875" customWidth="1"/>
    <col min="8457" max="8457" width="11.6640625" customWidth="1"/>
    <col min="8458" max="8459" width="20.6640625" customWidth="1"/>
    <col min="8678" max="8702" width="0" hidden="1" customWidth="1"/>
    <col min="8705" max="8705" width="3.88671875" customWidth="1"/>
    <col min="8706" max="8706" width="15.5546875" customWidth="1"/>
    <col min="8707" max="8707" width="64.6640625" customWidth="1"/>
    <col min="8708" max="8711" width="10.33203125" customWidth="1"/>
    <col min="8712" max="8712" width="3.88671875" customWidth="1"/>
    <col min="8713" max="8713" width="11.6640625" customWidth="1"/>
    <col min="8714" max="8715" width="20.6640625" customWidth="1"/>
    <col min="8934" max="8958" width="0" hidden="1" customWidth="1"/>
    <col min="8961" max="8961" width="3.88671875" customWidth="1"/>
    <col min="8962" max="8962" width="15.5546875" customWidth="1"/>
    <col min="8963" max="8963" width="64.6640625" customWidth="1"/>
    <col min="8964" max="8967" width="10.33203125" customWidth="1"/>
    <col min="8968" max="8968" width="3.88671875" customWidth="1"/>
    <col min="8969" max="8969" width="11.6640625" customWidth="1"/>
    <col min="8970" max="8971" width="20.6640625" customWidth="1"/>
    <col min="9190" max="9214" width="0" hidden="1" customWidth="1"/>
    <col min="9217" max="9217" width="3.88671875" customWidth="1"/>
    <col min="9218" max="9218" width="15.5546875" customWidth="1"/>
    <col min="9219" max="9219" width="64.6640625" customWidth="1"/>
    <col min="9220" max="9223" width="10.33203125" customWidth="1"/>
    <col min="9224" max="9224" width="3.88671875" customWidth="1"/>
    <col min="9225" max="9225" width="11.6640625" customWidth="1"/>
    <col min="9226" max="9227" width="20.6640625" customWidth="1"/>
    <col min="9446" max="9470" width="0" hidden="1" customWidth="1"/>
    <col min="9473" max="9473" width="3.88671875" customWidth="1"/>
    <col min="9474" max="9474" width="15.5546875" customWidth="1"/>
    <col min="9475" max="9475" width="64.6640625" customWidth="1"/>
    <col min="9476" max="9479" width="10.33203125" customWidth="1"/>
    <col min="9480" max="9480" width="3.88671875" customWidth="1"/>
    <col min="9481" max="9481" width="11.6640625" customWidth="1"/>
    <col min="9482" max="9483" width="20.6640625" customWidth="1"/>
    <col min="9702" max="9726" width="0" hidden="1" customWidth="1"/>
    <col min="9729" max="9729" width="3.88671875" customWidth="1"/>
    <col min="9730" max="9730" width="15.5546875" customWidth="1"/>
    <col min="9731" max="9731" width="64.6640625" customWidth="1"/>
    <col min="9732" max="9735" width="10.33203125" customWidth="1"/>
    <col min="9736" max="9736" width="3.88671875" customWidth="1"/>
    <col min="9737" max="9737" width="11.6640625" customWidth="1"/>
    <col min="9738" max="9739" width="20.6640625" customWidth="1"/>
    <col min="9958" max="9982" width="0" hidden="1" customWidth="1"/>
    <col min="9985" max="9985" width="3.88671875" customWidth="1"/>
    <col min="9986" max="9986" width="15.5546875" customWidth="1"/>
    <col min="9987" max="9987" width="64.6640625" customWidth="1"/>
    <col min="9988" max="9991" width="10.33203125" customWidth="1"/>
    <col min="9992" max="9992" width="3.88671875" customWidth="1"/>
    <col min="9993" max="9993" width="11.6640625" customWidth="1"/>
    <col min="9994" max="9995" width="20.6640625" customWidth="1"/>
    <col min="10214" max="10238" width="0" hidden="1" customWidth="1"/>
    <col min="10241" max="10241" width="3.88671875" customWidth="1"/>
    <col min="10242" max="10242" width="15.5546875" customWidth="1"/>
    <col min="10243" max="10243" width="64.6640625" customWidth="1"/>
    <col min="10244" max="10247" width="10.33203125" customWidth="1"/>
    <col min="10248" max="10248" width="3.88671875" customWidth="1"/>
    <col min="10249" max="10249" width="11.6640625" customWidth="1"/>
    <col min="10250" max="10251" width="20.6640625" customWidth="1"/>
    <col min="10470" max="10494" width="0" hidden="1" customWidth="1"/>
    <col min="10497" max="10497" width="3.88671875" customWidth="1"/>
    <col min="10498" max="10498" width="15.5546875" customWidth="1"/>
    <col min="10499" max="10499" width="64.6640625" customWidth="1"/>
    <col min="10500" max="10503" width="10.33203125" customWidth="1"/>
    <col min="10504" max="10504" width="3.88671875" customWidth="1"/>
    <col min="10505" max="10505" width="11.6640625" customWidth="1"/>
    <col min="10506" max="10507" width="20.6640625" customWidth="1"/>
    <col min="10726" max="10750" width="0" hidden="1" customWidth="1"/>
    <col min="10753" max="10753" width="3.88671875" customWidth="1"/>
    <col min="10754" max="10754" width="15.5546875" customWidth="1"/>
    <col min="10755" max="10755" width="64.6640625" customWidth="1"/>
    <col min="10756" max="10759" width="10.33203125" customWidth="1"/>
    <col min="10760" max="10760" width="3.88671875" customWidth="1"/>
    <col min="10761" max="10761" width="11.6640625" customWidth="1"/>
    <col min="10762" max="10763" width="20.6640625" customWidth="1"/>
    <col min="10982" max="11006" width="0" hidden="1" customWidth="1"/>
    <col min="11009" max="11009" width="3.88671875" customWidth="1"/>
    <col min="11010" max="11010" width="15.5546875" customWidth="1"/>
    <col min="11011" max="11011" width="64.6640625" customWidth="1"/>
    <col min="11012" max="11015" width="10.33203125" customWidth="1"/>
    <col min="11016" max="11016" width="3.88671875" customWidth="1"/>
    <col min="11017" max="11017" width="11.6640625" customWidth="1"/>
    <col min="11018" max="11019" width="20.6640625" customWidth="1"/>
    <col min="11238" max="11262" width="0" hidden="1" customWidth="1"/>
    <col min="11265" max="11265" width="3.88671875" customWidth="1"/>
    <col min="11266" max="11266" width="15.5546875" customWidth="1"/>
    <col min="11267" max="11267" width="64.6640625" customWidth="1"/>
    <col min="11268" max="11271" width="10.33203125" customWidth="1"/>
    <col min="11272" max="11272" width="3.88671875" customWidth="1"/>
    <col min="11273" max="11273" width="11.6640625" customWidth="1"/>
    <col min="11274" max="11275" width="20.6640625" customWidth="1"/>
    <col min="11494" max="11518" width="0" hidden="1" customWidth="1"/>
    <col min="11521" max="11521" width="3.88671875" customWidth="1"/>
    <col min="11522" max="11522" width="15.5546875" customWidth="1"/>
    <col min="11523" max="11523" width="64.6640625" customWidth="1"/>
    <col min="11524" max="11527" width="10.33203125" customWidth="1"/>
    <col min="11528" max="11528" width="3.88671875" customWidth="1"/>
    <col min="11529" max="11529" width="11.6640625" customWidth="1"/>
    <col min="11530" max="11531" width="20.6640625" customWidth="1"/>
    <col min="11750" max="11774" width="0" hidden="1" customWidth="1"/>
    <col min="11777" max="11777" width="3.88671875" customWidth="1"/>
    <col min="11778" max="11778" width="15.5546875" customWidth="1"/>
    <col min="11779" max="11779" width="64.6640625" customWidth="1"/>
    <col min="11780" max="11783" width="10.33203125" customWidth="1"/>
    <col min="11784" max="11784" width="3.88671875" customWidth="1"/>
    <col min="11785" max="11785" width="11.6640625" customWidth="1"/>
    <col min="11786" max="11787" width="20.6640625" customWidth="1"/>
    <col min="12006" max="12030" width="0" hidden="1" customWidth="1"/>
    <col min="12033" max="12033" width="3.88671875" customWidth="1"/>
    <col min="12034" max="12034" width="15.5546875" customWidth="1"/>
    <col min="12035" max="12035" width="64.6640625" customWidth="1"/>
    <col min="12036" max="12039" width="10.33203125" customWidth="1"/>
    <col min="12040" max="12040" width="3.88671875" customWidth="1"/>
    <col min="12041" max="12041" width="11.6640625" customWidth="1"/>
    <col min="12042" max="12043" width="20.6640625" customWidth="1"/>
    <col min="12262" max="12286" width="0" hidden="1" customWidth="1"/>
    <col min="12289" max="12289" width="3.88671875" customWidth="1"/>
    <col min="12290" max="12290" width="15.5546875" customWidth="1"/>
    <col min="12291" max="12291" width="64.6640625" customWidth="1"/>
    <col min="12292" max="12295" width="10.33203125" customWidth="1"/>
    <col min="12296" max="12296" width="3.88671875" customWidth="1"/>
    <col min="12297" max="12297" width="11.6640625" customWidth="1"/>
    <col min="12298" max="12299" width="20.6640625" customWidth="1"/>
    <col min="12518" max="12542" width="0" hidden="1" customWidth="1"/>
    <col min="12545" max="12545" width="3.88671875" customWidth="1"/>
    <col min="12546" max="12546" width="15.5546875" customWidth="1"/>
    <col min="12547" max="12547" width="64.6640625" customWidth="1"/>
    <col min="12548" max="12551" width="10.33203125" customWidth="1"/>
    <col min="12552" max="12552" width="3.88671875" customWidth="1"/>
    <col min="12553" max="12553" width="11.6640625" customWidth="1"/>
    <col min="12554" max="12555" width="20.6640625" customWidth="1"/>
    <col min="12774" max="12798" width="0" hidden="1" customWidth="1"/>
    <col min="12801" max="12801" width="3.88671875" customWidth="1"/>
    <col min="12802" max="12802" width="15.5546875" customWidth="1"/>
    <col min="12803" max="12803" width="64.6640625" customWidth="1"/>
    <col min="12804" max="12807" width="10.33203125" customWidth="1"/>
    <col min="12808" max="12808" width="3.88671875" customWidth="1"/>
    <col min="12809" max="12809" width="11.6640625" customWidth="1"/>
    <col min="12810" max="12811" width="20.6640625" customWidth="1"/>
    <col min="13030" max="13054" width="0" hidden="1" customWidth="1"/>
    <col min="13057" max="13057" width="3.88671875" customWidth="1"/>
    <col min="13058" max="13058" width="15.5546875" customWidth="1"/>
    <col min="13059" max="13059" width="64.6640625" customWidth="1"/>
    <col min="13060" max="13063" width="10.33203125" customWidth="1"/>
    <col min="13064" max="13064" width="3.88671875" customWidth="1"/>
    <col min="13065" max="13065" width="11.6640625" customWidth="1"/>
    <col min="13066" max="13067" width="20.6640625" customWidth="1"/>
    <col min="13286" max="13310" width="0" hidden="1" customWidth="1"/>
    <col min="13313" max="13313" width="3.88671875" customWidth="1"/>
    <col min="13314" max="13314" width="15.5546875" customWidth="1"/>
    <col min="13315" max="13315" width="64.6640625" customWidth="1"/>
    <col min="13316" max="13319" width="10.33203125" customWidth="1"/>
    <col min="13320" max="13320" width="3.88671875" customWidth="1"/>
    <col min="13321" max="13321" width="11.6640625" customWidth="1"/>
    <col min="13322" max="13323" width="20.6640625" customWidth="1"/>
    <col min="13542" max="13566" width="0" hidden="1" customWidth="1"/>
    <col min="13569" max="13569" width="3.88671875" customWidth="1"/>
    <col min="13570" max="13570" width="15.5546875" customWidth="1"/>
    <col min="13571" max="13571" width="64.6640625" customWidth="1"/>
    <col min="13572" max="13575" width="10.33203125" customWidth="1"/>
    <col min="13576" max="13576" width="3.88671875" customWidth="1"/>
    <col min="13577" max="13577" width="11.6640625" customWidth="1"/>
    <col min="13578" max="13579" width="20.6640625" customWidth="1"/>
    <col min="13798" max="13822" width="0" hidden="1" customWidth="1"/>
    <col min="13825" max="13825" width="3.88671875" customWidth="1"/>
    <col min="13826" max="13826" width="15.5546875" customWidth="1"/>
    <col min="13827" max="13827" width="64.6640625" customWidth="1"/>
    <col min="13828" max="13831" width="10.33203125" customWidth="1"/>
    <col min="13832" max="13832" width="3.88671875" customWidth="1"/>
    <col min="13833" max="13833" width="11.6640625" customWidth="1"/>
    <col min="13834" max="13835" width="20.6640625" customWidth="1"/>
    <col min="14054" max="14078" width="0" hidden="1" customWidth="1"/>
    <col min="14081" max="14081" width="3.88671875" customWidth="1"/>
    <col min="14082" max="14082" width="15.5546875" customWidth="1"/>
    <col min="14083" max="14083" width="64.6640625" customWidth="1"/>
    <col min="14084" max="14087" width="10.33203125" customWidth="1"/>
    <col min="14088" max="14088" width="3.88671875" customWidth="1"/>
    <col min="14089" max="14089" width="11.6640625" customWidth="1"/>
    <col min="14090" max="14091" width="20.6640625" customWidth="1"/>
    <col min="14310" max="14334" width="0" hidden="1" customWidth="1"/>
    <col min="14337" max="14337" width="3.88671875" customWidth="1"/>
    <col min="14338" max="14338" width="15.5546875" customWidth="1"/>
    <col min="14339" max="14339" width="64.6640625" customWidth="1"/>
    <col min="14340" max="14343" width="10.33203125" customWidth="1"/>
    <col min="14344" max="14344" width="3.88671875" customWidth="1"/>
    <col min="14345" max="14345" width="11.6640625" customWidth="1"/>
    <col min="14346" max="14347" width="20.6640625" customWidth="1"/>
    <col min="14566" max="14590" width="0" hidden="1" customWidth="1"/>
    <col min="14593" max="14593" width="3.88671875" customWidth="1"/>
    <col min="14594" max="14594" width="15.5546875" customWidth="1"/>
    <col min="14595" max="14595" width="64.6640625" customWidth="1"/>
    <col min="14596" max="14599" width="10.33203125" customWidth="1"/>
    <col min="14600" max="14600" width="3.88671875" customWidth="1"/>
    <col min="14601" max="14601" width="11.6640625" customWidth="1"/>
    <col min="14602" max="14603" width="20.6640625" customWidth="1"/>
    <col min="14822" max="14846" width="0" hidden="1" customWidth="1"/>
    <col min="14849" max="14849" width="3.88671875" customWidth="1"/>
    <col min="14850" max="14850" width="15.5546875" customWidth="1"/>
    <col min="14851" max="14851" width="64.6640625" customWidth="1"/>
    <col min="14852" max="14855" width="10.33203125" customWidth="1"/>
    <col min="14856" max="14856" width="3.88671875" customWidth="1"/>
    <col min="14857" max="14857" width="11.6640625" customWidth="1"/>
    <col min="14858" max="14859" width="20.6640625" customWidth="1"/>
    <col min="15078" max="15102" width="0" hidden="1" customWidth="1"/>
    <col min="15105" max="15105" width="3.88671875" customWidth="1"/>
    <col min="15106" max="15106" width="15.5546875" customWidth="1"/>
    <col min="15107" max="15107" width="64.6640625" customWidth="1"/>
    <col min="15108" max="15111" width="10.33203125" customWidth="1"/>
    <col min="15112" max="15112" width="3.88671875" customWidth="1"/>
    <col min="15113" max="15113" width="11.6640625" customWidth="1"/>
    <col min="15114" max="15115" width="20.6640625" customWidth="1"/>
    <col min="15334" max="15358" width="0" hidden="1" customWidth="1"/>
    <col min="15361" max="15361" width="3.88671875" customWidth="1"/>
    <col min="15362" max="15362" width="15.5546875" customWidth="1"/>
    <col min="15363" max="15363" width="64.6640625" customWidth="1"/>
    <col min="15364" max="15367" width="10.33203125" customWidth="1"/>
    <col min="15368" max="15368" width="3.88671875" customWidth="1"/>
    <col min="15369" max="15369" width="11.6640625" customWidth="1"/>
    <col min="15370" max="15371" width="20.6640625" customWidth="1"/>
    <col min="15590" max="15614" width="0" hidden="1" customWidth="1"/>
    <col min="15617" max="15617" width="3.88671875" customWidth="1"/>
    <col min="15618" max="15618" width="15.5546875" customWidth="1"/>
    <col min="15619" max="15619" width="64.6640625" customWidth="1"/>
    <col min="15620" max="15623" width="10.33203125" customWidth="1"/>
    <col min="15624" max="15624" width="3.88671875" customWidth="1"/>
    <col min="15625" max="15625" width="11.6640625" customWidth="1"/>
    <col min="15626" max="15627" width="20.6640625" customWidth="1"/>
    <col min="15846" max="15870" width="0" hidden="1" customWidth="1"/>
    <col min="15873" max="15873" width="3.88671875" customWidth="1"/>
    <col min="15874" max="15874" width="15.5546875" customWidth="1"/>
    <col min="15875" max="15875" width="64.6640625" customWidth="1"/>
    <col min="15876" max="15879" width="10.33203125" customWidth="1"/>
    <col min="15880" max="15880" width="3.88671875" customWidth="1"/>
    <col min="15881" max="15881" width="11.6640625" customWidth="1"/>
    <col min="15882" max="15883" width="20.6640625" customWidth="1"/>
    <col min="16102" max="16126" width="0" hidden="1" customWidth="1"/>
    <col min="16129" max="16129" width="3.88671875" customWidth="1"/>
    <col min="16130" max="16130" width="15.5546875" customWidth="1"/>
    <col min="16131" max="16131" width="64.6640625" customWidth="1"/>
    <col min="16132" max="16135" width="10.33203125" customWidth="1"/>
    <col min="16136" max="16136" width="3.88671875" customWidth="1"/>
    <col min="16137" max="16137" width="11.6640625" customWidth="1"/>
    <col min="16138" max="16139" width="20.6640625" customWidth="1"/>
    <col min="16358" max="16382" width="0" hidden="1" customWidth="1"/>
  </cols>
  <sheetData>
    <row r="1" spans="1:253" ht="54.75" customHeight="1" thickBot="1" x14ac:dyDescent="0.35">
      <c r="A1" s="587" t="s">
        <v>758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</row>
    <row r="2" spans="1:253" ht="34.950000000000003" customHeight="1" thickBot="1" x14ac:dyDescent="0.35">
      <c r="A2" s="227" t="s">
        <v>759</v>
      </c>
      <c r="B2" s="227" t="s">
        <v>760</v>
      </c>
      <c r="C2" s="588" t="s">
        <v>761</v>
      </c>
      <c r="D2" s="588"/>
      <c r="E2" s="588"/>
      <c r="F2" s="588"/>
      <c r="G2" s="588"/>
      <c r="H2" s="227" t="s">
        <v>117</v>
      </c>
      <c r="I2" s="227" t="s">
        <v>118</v>
      </c>
      <c r="J2" s="228" t="s">
        <v>762</v>
      </c>
      <c r="K2" s="229" t="s">
        <v>763</v>
      </c>
      <c r="HV2" s="208" t="s">
        <v>764</v>
      </c>
      <c r="HW2" s="208" t="s">
        <v>765</v>
      </c>
    </row>
    <row r="3" spans="1:253" ht="15" customHeight="1" x14ac:dyDescent="0.3">
      <c r="A3" s="209" t="s">
        <v>766</v>
      </c>
      <c r="B3" s="210" t="s">
        <v>767</v>
      </c>
      <c r="C3" s="586" t="s">
        <v>64</v>
      </c>
      <c r="D3" s="586"/>
      <c r="E3" s="586"/>
      <c r="F3" s="586"/>
      <c r="G3" s="586"/>
      <c r="H3" s="210" t="s">
        <v>766</v>
      </c>
      <c r="I3" s="211" t="s">
        <v>766</v>
      </c>
      <c r="J3" s="211" t="s">
        <v>766</v>
      </c>
      <c r="K3" s="212">
        <f>SUM(K4:K21)</f>
        <v>0</v>
      </c>
    </row>
    <row r="4" spans="1:253" ht="15" customHeight="1" x14ac:dyDescent="0.3">
      <c r="A4" s="213">
        <v>1</v>
      </c>
      <c r="B4" s="214" t="s">
        <v>768</v>
      </c>
      <c r="C4" s="585" t="s">
        <v>769</v>
      </c>
      <c r="D4" s="585"/>
      <c r="E4" s="585"/>
      <c r="F4" s="585"/>
      <c r="G4" s="585"/>
      <c r="H4" s="214" t="s">
        <v>241</v>
      </c>
      <c r="I4" s="215">
        <v>10.06</v>
      </c>
      <c r="J4" s="503"/>
      <c r="K4" s="216">
        <f t="shared" ref="K4:K21" si="0">IR4*I4+IS4*I4</f>
        <v>0</v>
      </c>
      <c r="HV4" s="214" t="s">
        <v>767</v>
      </c>
      <c r="HW4" s="214" t="s">
        <v>770</v>
      </c>
      <c r="IR4" s="217">
        <f t="shared" ref="IR4:IR18" si="1">J4*0</f>
        <v>0</v>
      </c>
      <c r="IS4" s="217">
        <f t="shared" ref="IS4:IS18" si="2">J4*(1-0)</f>
        <v>0</v>
      </c>
    </row>
    <row r="5" spans="1:253" ht="15" customHeight="1" x14ac:dyDescent="0.3">
      <c r="A5" s="213">
        <v>2</v>
      </c>
      <c r="B5" s="214" t="s">
        <v>771</v>
      </c>
      <c r="C5" s="585" t="s">
        <v>772</v>
      </c>
      <c r="D5" s="585"/>
      <c r="E5" s="585"/>
      <c r="F5" s="585"/>
      <c r="G5" s="585"/>
      <c r="H5" s="214" t="s">
        <v>241</v>
      </c>
      <c r="I5" s="215">
        <v>10.06</v>
      </c>
      <c r="J5" s="503"/>
      <c r="K5" s="216">
        <f t="shared" si="0"/>
        <v>0</v>
      </c>
      <c r="HV5" s="214" t="s">
        <v>767</v>
      </c>
      <c r="HW5" s="214" t="s">
        <v>770</v>
      </c>
      <c r="IR5" s="217">
        <f t="shared" si="1"/>
        <v>0</v>
      </c>
      <c r="IS5" s="217">
        <f t="shared" si="2"/>
        <v>0</v>
      </c>
    </row>
    <row r="6" spans="1:253" ht="15" customHeight="1" x14ac:dyDescent="0.3">
      <c r="A6" s="213">
        <v>3</v>
      </c>
      <c r="B6" s="214" t="s">
        <v>773</v>
      </c>
      <c r="C6" s="585" t="s">
        <v>774</v>
      </c>
      <c r="D6" s="585"/>
      <c r="E6" s="585"/>
      <c r="F6" s="585"/>
      <c r="G6" s="585"/>
      <c r="H6" s="214" t="s">
        <v>241</v>
      </c>
      <c r="I6" s="215">
        <v>10.06</v>
      </c>
      <c r="J6" s="503"/>
      <c r="K6" s="216">
        <f t="shared" si="0"/>
        <v>0</v>
      </c>
      <c r="HV6" s="214" t="s">
        <v>767</v>
      </c>
      <c r="HW6" s="214" t="s">
        <v>770</v>
      </c>
      <c r="IR6" s="217">
        <f t="shared" si="1"/>
        <v>0</v>
      </c>
      <c r="IS6" s="217">
        <f t="shared" si="2"/>
        <v>0</v>
      </c>
    </row>
    <row r="7" spans="1:253" ht="15" customHeight="1" x14ac:dyDescent="0.3">
      <c r="A7" s="213">
        <v>4</v>
      </c>
      <c r="B7" s="214" t="s">
        <v>775</v>
      </c>
      <c r="C7" s="585" t="s">
        <v>776</v>
      </c>
      <c r="D7" s="585"/>
      <c r="E7" s="585"/>
      <c r="F7" s="585"/>
      <c r="G7" s="585"/>
      <c r="H7" s="214" t="s">
        <v>241</v>
      </c>
      <c r="I7" s="215">
        <v>10.06</v>
      </c>
      <c r="J7" s="503"/>
      <c r="K7" s="216">
        <f t="shared" si="0"/>
        <v>0</v>
      </c>
      <c r="HV7" s="214" t="s">
        <v>767</v>
      </c>
      <c r="HW7" s="214" t="s">
        <v>770</v>
      </c>
      <c r="IR7" s="217">
        <f t="shared" si="1"/>
        <v>0</v>
      </c>
      <c r="IS7" s="217">
        <f t="shared" si="2"/>
        <v>0</v>
      </c>
    </row>
    <row r="8" spans="1:253" ht="15" customHeight="1" x14ac:dyDescent="0.3">
      <c r="A8" s="213">
        <v>5</v>
      </c>
      <c r="B8" s="214" t="s">
        <v>777</v>
      </c>
      <c r="C8" s="585" t="s">
        <v>778</v>
      </c>
      <c r="D8" s="585"/>
      <c r="E8" s="585"/>
      <c r="F8" s="585"/>
      <c r="G8" s="585"/>
      <c r="H8" s="214" t="s">
        <v>241</v>
      </c>
      <c r="I8" s="215">
        <v>17.265999999999998</v>
      </c>
      <c r="J8" s="503"/>
      <c r="K8" s="216">
        <f t="shared" si="0"/>
        <v>0</v>
      </c>
      <c r="HV8" s="214" t="s">
        <v>767</v>
      </c>
      <c r="HW8" s="214" t="s">
        <v>770</v>
      </c>
      <c r="IR8" s="217">
        <f t="shared" si="1"/>
        <v>0</v>
      </c>
      <c r="IS8" s="217">
        <f t="shared" si="2"/>
        <v>0</v>
      </c>
    </row>
    <row r="9" spans="1:253" ht="15" customHeight="1" x14ac:dyDescent="0.3">
      <c r="A9" s="213">
        <v>6</v>
      </c>
      <c r="B9" s="214" t="s">
        <v>779</v>
      </c>
      <c r="C9" s="585" t="s">
        <v>780</v>
      </c>
      <c r="D9" s="585"/>
      <c r="E9" s="585"/>
      <c r="F9" s="585"/>
      <c r="G9" s="585"/>
      <c r="H9" s="214" t="s">
        <v>241</v>
      </c>
      <c r="I9" s="215">
        <v>17.265999999999998</v>
      </c>
      <c r="J9" s="503"/>
      <c r="K9" s="216">
        <f t="shared" si="0"/>
        <v>0</v>
      </c>
      <c r="HV9" s="214" t="s">
        <v>767</v>
      </c>
      <c r="HW9" s="214" t="s">
        <v>770</v>
      </c>
      <c r="IR9" s="217">
        <f t="shared" si="1"/>
        <v>0</v>
      </c>
      <c r="IS9" s="217">
        <f t="shared" si="2"/>
        <v>0</v>
      </c>
    </row>
    <row r="10" spans="1:253" ht="15" customHeight="1" x14ac:dyDescent="0.3">
      <c r="A10" s="213">
        <v>7</v>
      </c>
      <c r="B10" s="214" t="s">
        <v>781</v>
      </c>
      <c r="C10" s="585" t="s">
        <v>782</v>
      </c>
      <c r="D10" s="585"/>
      <c r="E10" s="585"/>
      <c r="F10" s="585"/>
      <c r="G10" s="585"/>
      <c r="H10" s="214" t="s">
        <v>241</v>
      </c>
      <c r="I10" s="215">
        <v>17.265999999999998</v>
      </c>
      <c r="J10" s="503"/>
      <c r="K10" s="216">
        <f t="shared" si="0"/>
        <v>0</v>
      </c>
      <c r="HV10" s="214" t="s">
        <v>767</v>
      </c>
      <c r="HW10" s="214" t="s">
        <v>770</v>
      </c>
      <c r="IR10" s="217">
        <f t="shared" si="1"/>
        <v>0</v>
      </c>
      <c r="IS10" s="217">
        <f t="shared" si="2"/>
        <v>0</v>
      </c>
    </row>
    <row r="11" spans="1:253" ht="15" customHeight="1" x14ac:dyDescent="0.3">
      <c r="A11" s="213">
        <v>8</v>
      </c>
      <c r="B11" s="214" t="s">
        <v>783</v>
      </c>
      <c r="C11" s="585" t="s">
        <v>784</v>
      </c>
      <c r="D11" s="585"/>
      <c r="E11" s="585"/>
      <c r="F11" s="585"/>
      <c r="G11" s="585"/>
      <c r="H11" s="214" t="s">
        <v>241</v>
      </c>
      <c r="I11" s="215">
        <v>17.265999999999998</v>
      </c>
      <c r="J11" s="503"/>
      <c r="K11" s="216">
        <f t="shared" si="0"/>
        <v>0</v>
      </c>
      <c r="HV11" s="214" t="s">
        <v>767</v>
      </c>
      <c r="HW11" s="214" t="s">
        <v>770</v>
      </c>
      <c r="IR11" s="217">
        <f t="shared" si="1"/>
        <v>0</v>
      </c>
      <c r="IS11" s="217">
        <f t="shared" si="2"/>
        <v>0</v>
      </c>
    </row>
    <row r="12" spans="1:253" ht="15" customHeight="1" x14ac:dyDescent="0.3">
      <c r="A12" s="213">
        <v>9</v>
      </c>
      <c r="B12" s="214" t="s">
        <v>244</v>
      </c>
      <c r="C12" s="585" t="s">
        <v>245</v>
      </c>
      <c r="D12" s="585"/>
      <c r="E12" s="585"/>
      <c r="F12" s="585"/>
      <c r="G12" s="585"/>
      <c r="H12" s="214" t="s">
        <v>241</v>
      </c>
      <c r="I12" s="215">
        <v>16.396000000000001</v>
      </c>
      <c r="J12" s="503"/>
      <c r="K12" s="216">
        <f t="shared" si="0"/>
        <v>0</v>
      </c>
      <c r="HV12" s="214" t="s">
        <v>767</v>
      </c>
      <c r="HW12" s="214" t="s">
        <v>770</v>
      </c>
      <c r="IR12" s="217">
        <f t="shared" si="1"/>
        <v>0</v>
      </c>
      <c r="IS12" s="217">
        <f t="shared" si="2"/>
        <v>0</v>
      </c>
    </row>
    <row r="13" spans="1:253" ht="15" customHeight="1" x14ac:dyDescent="0.3">
      <c r="A13" s="213">
        <v>10</v>
      </c>
      <c r="B13" s="214" t="s">
        <v>250</v>
      </c>
      <c r="C13" s="585" t="s">
        <v>251</v>
      </c>
      <c r="D13" s="585"/>
      <c r="E13" s="585"/>
      <c r="F13" s="585"/>
      <c r="G13" s="585"/>
      <c r="H13" s="214" t="s">
        <v>241</v>
      </c>
      <c r="I13" s="215">
        <v>23.59</v>
      </c>
      <c r="J13" s="503"/>
      <c r="K13" s="216">
        <f t="shared" si="0"/>
        <v>0</v>
      </c>
      <c r="HV13" s="214" t="s">
        <v>767</v>
      </c>
      <c r="HW13" s="214" t="s">
        <v>770</v>
      </c>
      <c r="IR13" s="217">
        <f t="shared" si="1"/>
        <v>0</v>
      </c>
      <c r="IS13" s="217">
        <f t="shared" si="2"/>
        <v>0</v>
      </c>
    </row>
    <row r="14" spans="1:253" ht="15" customHeight="1" x14ac:dyDescent="0.3">
      <c r="A14" s="213">
        <v>11</v>
      </c>
      <c r="B14" s="214" t="s">
        <v>252</v>
      </c>
      <c r="C14" s="585" t="s">
        <v>253</v>
      </c>
      <c r="D14" s="585"/>
      <c r="E14" s="585"/>
      <c r="F14" s="585"/>
      <c r="G14" s="585"/>
      <c r="H14" s="214" t="s">
        <v>241</v>
      </c>
      <c r="I14" s="215">
        <v>235.9</v>
      </c>
      <c r="J14" s="503"/>
      <c r="K14" s="216">
        <f t="shared" si="0"/>
        <v>0</v>
      </c>
      <c r="HV14" s="214" t="s">
        <v>767</v>
      </c>
      <c r="HW14" s="214" t="s">
        <v>770</v>
      </c>
      <c r="IR14" s="217">
        <f t="shared" si="1"/>
        <v>0</v>
      </c>
      <c r="IS14" s="217">
        <f t="shared" si="2"/>
        <v>0</v>
      </c>
    </row>
    <row r="15" spans="1:253" ht="15" customHeight="1" x14ac:dyDescent="0.3">
      <c r="A15" s="213">
        <v>12</v>
      </c>
      <c r="B15" s="214" t="s">
        <v>248</v>
      </c>
      <c r="C15" s="585" t="s">
        <v>785</v>
      </c>
      <c r="D15" s="585"/>
      <c r="E15" s="585"/>
      <c r="F15" s="585"/>
      <c r="G15" s="585"/>
      <c r="H15" s="214" t="s">
        <v>241</v>
      </c>
      <c r="I15" s="215">
        <v>23.59</v>
      </c>
      <c r="J15" s="503"/>
      <c r="K15" s="216">
        <f t="shared" si="0"/>
        <v>0</v>
      </c>
      <c r="HV15" s="214" t="s">
        <v>767</v>
      </c>
      <c r="HW15" s="214" t="s">
        <v>770</v>
      </c>
      <c r="IR15" s="217">
        <f t="shared" si="1"/>
        <v>0</v>
      </c>
      <c r="IS15" s="217">
        <f t="shared" si="2"/>
        <v>0</v>
      </c>
    </row>
    <row r="16" spans="1:253" ht="15" customHeight="1" x14ac:dyDescent="0.3">
      <c r="A16" s="213">
        <v>13</v>
      </c>
      <c r="B16" s="214" t="s">
        <v>254</v>
      </c>
      <c r="C16" s="585" t="s">
        <v>255</v>
      </c>
      <c r="D16" s="585"/>
      <c r="E16" s="585"/>
      <c r="F16" s="585"/>
      <c r="G16" s="585"/>
      <c r="H16" s="214" t="s">
        <v>241</v>
      </c>
      <c r="I16" s="215">
        <v>23.59</v>
      </c>
      <c r="J16" s="503"/>
      <c r="K16" s="216">
        <f t="shared" si="0"/>
        <v>0</v>
      </c>
      <c r="HV16" s="214" t="s">
        <v>767</v>
      </c>
      <c r="HW16" s="214" t="s">
        <v>770</v>
      </c>
      <c r="IR16" s="217">
        <f t="shared" si="1"/>
        <v>0</v>
      </c>
      <c r="IS16" s="217">
        <f t="shared" si="2"/>
        <v>0</v>
      </c>
    </row>
    <row r="17" spans="1:253" ht="15" customHeight="1" x14ac:dyDescent="0.3">
      <c r="A17" s="213">
        <v>14</v>
      </c>
      <c r="B17" s="214" t="s">
        <v>786</v>
      </c>
      <c r="C17" s="585" t="s">
        <v>787</v>
      </c>
      <c r="D17" s="585"/>
      <c r="E17" s="585"/>
      <c r="F17" s="585"/>
      <c r="G17" s="585"/>
      <c r="H17" s="214" t="s">
        <v>241</v>
      </c>
      <c r="I17" s="215">
        <v>8.64</v>
      </c>
      <c r="J17" s="503"/>
      <c r="K17" s="216">
        <f t="shared" si="0"/>
        <v>0</v>
      </c>
      <c r="HV17" s="214" t="s">
        <v>767</v>
      </c>
      <c r="HW17" s="214" t="s">
        <v>770</v>
      </c>
      <c r="IR17" s="217">
        <f t="shared" si="1"/>
        <v>0</v>
      </c>
      <c r="IS17" s="217">
        <f t="shared" si="2"/>
        <v>0</v>
      </c>
    </row>
    <row r="18" spans="1:253" ht="15" customHeight="1" x14ac:dyDescent="0.3">
      <c r="A18" s="213">
        <v>15</v>
      </c>
      <c r="B18" s="214" t="s">
        <v>578</v>
      </c>
      <c r="C18" s="585" t="s">
        <v>579</v>
      </c>
      <c r="D18" s="585"/>
      <c r="E18" s="585"/>
      <c r="F18" s="585"/>
      <c r="G18" s="585"/>
      <c r="H18" s="214" t="s">
        <v>241</v>
      </c>
      <c r="I18" s="215">
        <v>8.34</v>
      </c>
      <c r="J18" s="503"/>
      <c r="K18" s="216">
        <f t="shared" si="0"/>
        <v>0</v>
      </c>
      <c r="HV18" s="214" t="s">
        <v>767</v>
      </c>
      <c r="HW18" s="214" t="s">
        <v>770</v>
      </c>
      <c r="IR18" s="217">
        <f t="shared" si="1"/>
        <v>0</v>
      </c>
      <c r="IS18" s="217">
        <f t="shared" si="2"/>
        <v>0</v>
      </c>
    </row>
    <row r="19" spans="1:253" ht="15" customHeight="1" x14ac:dyDescent="0.3">
      <c r="A19" s="213">
        <v>16</v>
      </c>
      <c r="B19" s="214" t="s">
        <v>788</v>
      </c>
      <c r="C19" s="585" t="s">
        <v>789</v>
      </c>
      <c r="D19" s="585"/>
      <c r="E19" s="585"/>
      <c r="F19" s="585"/>
      <c r="G19" s="585"/>
      <c r="H19" s="214" t="s">
        <v>267</v>
      </c>
      <c r="I19" s="215">
        <v>39.395000000000003</v>
      </c>
      <c r="J19" s="503"/>
      <c r="K19" s="216">
        <f t="shared" si="0"/>
        <v>0</v>
      </c>
      <c r="HV19" s="214" t="s">
        <v>767</v>
      </c>
      <c r="HW19" s="214" t="s">
        <v>770</v>
      </c>
      <c r="IR19" s="217">
        <f>J19*1</f>
        <v>0</v>
      </c>
      <c r="IS19" s="217">
        <f>J19*(1-1)</f>
        <v>0</v>
      </c>
    </row>
    <row r="20" spans="1:253" ht="15" customHeight="1" x14ac:dyDescent="0.3">
      <c r="A20" s="213">
        <v>17</v>
      </c>
      <c r="B20" s="214" t="s">
        <v>790</v>
      </c>
      <c r="C20" s="585" t="s">
        <v>791</v>
      </c>
      <c r="D20" s="585"/>
      <c r="E20" s="585"/>
      <c r="F20" s="585"/>
      <c r="G20" s="585"/>
      <c r="H20" s="214" t="s">
        <v>165</v>
      </c>
      <c r="I20" s="215">
        <v>40.799999999999997</v>
      </c>
      <c r="J20" s="503"/>
      <c r="K20" s="216">
        <f t="shared" si="0"/>
        <v>0</v>
      </c>
      <c r="HV20" s="214" t="s">
        <v>767</v>
      </c>
      <c r="HW20" s="214" t="s">
        <v>770</v>
      </c>
      <c r="IR20" s="217">
        <f t="shared" ref="IR20:IR21" si="3">J20*0</f>
        <v>0</v>
      </c>
      <c r="IS20" s="217">
        <f t="shared" ref="IS20:IS21" si="4">J20*(1-0)</f>
        <v>0</v>
      </c>
    </row>
    <row r="21" spans="1:253" ht="15" customHeight="1" x14ac:dyDescent="0.3">
      <c r="A21" s="213">
        <v>18</v>
      </c>
      <c r="B21" s="214" t="s">
        <v>792</v>
      </c>
      <c r="C21" s="585" t="s">
        <v>793</v>
      </c>
      <c r="D21" s="585"/>
      <c r="E21" s="585"/>
      <c r="F21" s="585"/>
      <c r="G21" s="585"/>
      <c r="H21" s="214" t="s">
        <v>165</v>
      </c>
      <c r="I21" s="215">
        <v>40.799999999999997</v>
      </c>
      <c r="J21" s="503"/>
      <c r="K21" s="216">
        <f t="shared" si="0"/>
        <v>0</v>
      </c>
      <c r="HV21" s="214" t="s">
        <v>767</v>
      </c>
      <c r="HW21" s="214" t="s">
        <v>770</v>
      </c>
      <c r="IR21" s="217">
        <f t="shared" si="3"/>
        <v>0</v>
      </c>
      <c r="IS21" s="217">
        <f t="shared" si="4"/>
        <v>0</v>
      </c>
    </row>
    <row r="22" spans="1:253" ht="15" customHeight="1" x14ac:dyDescent="0.3">
      <c r="A22" s="209" t="s">
        <v>766</v>
      </c>
      <c r="B22" s="210" t="s">
        <v>794</v>
      </c>
      <c r="C22" s="586" t="s">
        <v>795</v>
      </c>
      <c r="D22" s="586"/>
      <c r="E22" s="586"/>
      <c r="F22" s="586"/>
      <c r="G22" s="586"/>
      <c r="H22" s="210" t="s">
        <v>766</v>
      </c>
      <c r="I22" s="211" t="s">
        <v>766</v>
      </c>
      <c r="J22" s="211"/>
      <c r="K22" s="212">
        <f>SUM(K23:K26)</f>
        <v>0</v>
      </c>
    </row>
    <row r="23" spans="1:253" ht="15" customHeight="1" x14ac:dyDescent="0.3">
      <c r="A23" s="213">
        <v>19</v>
      </c>
      <c r="B23" s="214" t="s">
        <v>796</v>
      </c>
      <c r="C23" s="585" t="s">
        <v>797</v>
      </c>
      <c r="D23" s="585"/>
      <c r="E23" s="585"/>
      <c r="F23" s="585"/>
      <c r="G23" s="585"/>
      <c r="H23" s="214" t="s">
        <v>241</v>
      </c>
      <c r="I23" s="215">
        <v>3.18</v>
      </c>
      <c r="J23" s="503"/>
      <c r="K23" s="216">
        <f t="shared" ref="K23:K26" si="5">IR23*I23+IS23*I23</f>
        <v>0</v>
      </c>
      <c r="HV23" s="214" t="s">
        <v>794</v>
      </c>
      <c r="HW23" s="214" t="s">
        <v>770</v>
      </c>
      <c r="IR23" s="217">
        <f>J23*0.494559770937724</f>
        <v>0</v>
      </c>
      <c r="IS23" s="217">
        <f>J23*(1-0.494559770937724)</f>
        <v>0</v>
      </c>
    </row>
    <row r="24" spans="1:253" ht="15" customHeight="1" x14ac:dyDescent="0.3">
      <c r="A24" s="213">
        <v>20</v>
      </c>
      <c r="B24" s="214" t="s">
        <v>798</v>
      </c>
      <c r="C24" s="585" t="s">
        <v>799</v>
      </c>
      <c r="D24" s="585"/>
      <c r="E24" s="585"/>
      <c r="F24" s="585"/>
      <c r="G24" s="585"/>
      <c r="H24" s="214" t="s">
        <v>241</v>
      </c>
      <c r="I24" s="215">
        <v>1.0449999999999999</v>
      </c>
      <c r="J24" s="503"/>
      <c r="K24" s="216">
        <f t="shared" si="5"/>
        <v>0</v>
      </c>
      <c r="HV24" s="214" t="s">
        <v>794</v>
      </c>
      <c r="HW24" s="214" t="s">
        <v>770</v>
      </c>
      <c r="IR24" s="217">
        <f>J24*0.584061302681992</f>
        <v>0</v>
      </c>
      <c r="IS24" s="217">
        <f>J24*(1-0.584061302681992)</f>
        <v>0</v>
      </c>
    </row>
    <row r="25" spans="1:253" ht="15" customHeight="1" x14ac:dyDescent="0.3">
      <c r="A25" s="213">
        <v>21</v>
      </c>
      <c r="B25" s="214" t="s">
        <v>800</v>
      </c>
      <c r="C25" s="585" t="s">
        <v>801</v>
      </c>
      <c r="D25" s="585"/>
      <c r="E25" s="585"/>
      <c r="F25" s="585"/>
      <c r="G25" s="585"/>
      <c r="H25" s="214" t="s">
        <v>241</v>
      </c>
      <c r="I25" s="215">
        <v>0.32400000000000001</v>
      </c>
      <c r="J25" s="503"/>
      <c r="K25" s="216">
        <f t="shared" si="5"/>
        <v>0</v>
      </c>
      <c r="HV25" s="214" t="s">
        <v>794</v>
      </c>
      <c r="HW25" s="214" t="s">
        <v>770</v>
      </c>
      <c r="IR25" s="217">
        <f>J25*0.822046012269939</f>
        <v>0</v>
      </c>
      <c r="IS25" s="217">
        <f>J25*(1-0.822046012269939)</f>
        <v>0</v>
      </c>
    </row>
    <row r="26" spans="1:253" ht="15" customHeight="1" x14ac:dyDescent="0.3">
      <c r="A26" s="213">
        <v>22</v>
      </c>
      <c r="B26" s="214" t="s">
        <v>802</v>
      </c>
      <c r="C26" s="585" t="s">
        <v>803</v>
      </c>
      <c r="D26" s="585"/>
      <c r="E26" s="585"/>
      <c r="F26" s="585"/>
      <c r="G26" s="585"/>
      <c r="H26" s="214" t="s">
        <v>165</v>
      </c>
      <c r="I26" s="215">
        <v>2.16</v>
      </c>
      <c r="J26" s="503"/>
      <c r="K26" s="216">
        <f t="shared" si="5"/>
        <v>0</v>
      </c>
      <c r="HV26" s="214" t="s">
        <v>794</v>
      </c>
      <c r="HW26" s="214" t="s">
        <v>770</v>
      </c>
      <c r="IR26" s="217">
        <f>J26*0.212867055011034</f>
        <v>0</v>
      </c>
      <c r="IS26" s="217">
        <f>J26*(1-0.212867055011034)</f>
        <v>0</v>
      </c>
    </row>
    <row r="27" spans="1:253" ht="15" customHeight="1" x14ac:dyDescent="0.3">
      <c r="A27" s="209" t="s">
        <v>766</v>
      </c>
      <c r="B27" s="210" t="s">
        <v>804</v>
      </c>
      <c r="C27" s="586" t="s">
        <v>805</v>
      </c>
      <c r="D27" s="586"/>
      <c r="E27" s="586"/>
      <c r="F27" s="586"/>
      <c r="G27" s="586"/>
      <c r="H27" s="210" t="s">
        <v>766</v>
      </c>
      <c r="I27" s="211" t="s">
        <v>766</v>
      </c>
      <c r="J27" s="211"/>
      <c r="K27" s="212">
        <f>SUM(K28:K38)</f>
        <v>0</v>
      </c>
    </row>
    <row r="28" spans="1:253" ht="15" customHeight="1" x14ac:dyDescent="0.3">
      <c r="A28" s="213">
        <v>23</v>
      </c>
      <c r="B28" s="214" t="s">
        <v>806</v>
      </c>
      <c r="C28" s="585" t="s">
        <v>807</v>
      </c>
      <c r="D28" s="585"/>
      <c r="E28" s="585"/>
      <c r="F28" s="585"/>
      <c r="G28" s="585"/>
      <c r="H28" s="214" t="s">
        <v>178</v>
      </c>
      <c r="I28" s="215">
        <v>60</v>
      </c>
      <c r="J28" s="503"/>
      <c r="K28" s="216">
        <f t="shared" ref="K28:K38" si="6">IR28*I28+IS28*I28</f>
        <v>0</v>
      </c>
      <c r="HV28" s="214" t="s">
        <v>804</v>
      </c>
      <c r="HW28" s="214" t="s">
        <v>770</v>
      </c>
      <c r="IR28" s="217">
        <f t="shared" ref="IR28:IR29" si="7">J28*0</f>
        <v>0</v>
      </c>
      <c r="IS28" s="217">
        <f t="shared" ref="IS28:IS29" si="8">J28*(1-0)</f>
        <v>0</v>
      </c>
    </row>
    <row r="29" spans="1:253" ht="15" customHeight="1" x14ac:dyDescent="0.3">
      <c r="A29" s="213">
        <v>24</v>
      </c>
      <c r="B29" s="214" t="s">
        <v>808</v>
      </c>
      <c r="C29" s="585" t="s">
        <v>809</v>
      </c>
      <c r="D29" s="585"/>
      <c r="E29" s="585"/>
      <c r="F29" s="585"/>
      <c r="G29" s="585"/>
      <c r="H29" s="214" t="s">
        <v>158</v>
      </c>
      <c r="I29" s="215">
        <v>1</v>
      </c>
      <c r="J29" s="503"/>
      <c r="K29" s="216">
        <f t="shared" si="6"/>
        <v>0</v>
      </c>
      <c r="HV29" s="214" t="s">
        <v>804</v>
      </c>
      <c r="HW29" s="214" t="s">
        <v>770</v>
      </c>
      <c r="IR29" s="217">
        <f t="shared" si="7"/>
        <v>0</v>
      </c>
      <c r="IS29" s="217">
        <f t="shared" si="8"/>
        <v>0</v>
      </c>
    </row>
    <row r="30" spans="1:253" ht="15" customHeight="1" x14ac:dyDescent="0.3">
      <c r="A30" s="213">
        <v>25</v>
      </c>
      <c r="B30" s="214" t="s">
        <v>810</v>
      </c>
      <c r="C30" s="585" t="s">
        <v>811</v>
      </c>
      <c r="D30" s="585"/>
      <c r="E30" s="585"/>
      <c r="F30" s="585"/>
      <c r="G30" s="585"/>
      <c r="H30" s="214" t="s">
        <v>158</v>
      </c>
      <c r="I30" s="215">
        <v>2</v>
      </c>
      <c r="J30" s="503"/>
      <c r="K30" s="216">
        <f t="shared" si="6"/>
        <v>0</v>
      </c>
      <c r="HV30" s="214" t="s">
        <v>804</v>
      </c>
      <c r="HW30" s="214" t="s">
        <v>770</v>
      </c>
      <c r="IR30" s="217">
        <f>J30*0.00938090308534594</f>
        <v>0</v>
      </c>
      <c r="IS30" s="217">
        <f>J30*(1-0.00938090308534594)</f>
        <v>0</v>
      </c>
    </row>
    <row r="31" spans="1:253" ht="15" customHeight="1" x14ac:dyDescent="0.3">
      <c r="A31" s="213">
        <v>26</v>
      </c>
      <c r="B31" s="214" t="s">
        <v>812</v>
      </c>
      <c r="C31" s="585" t="s">
        <v>813</v>
      </c>
      <c r="D31" s="585"/>
      <c r="E31" s="585"/>
      <c r="F31" s="585"/>
      <c r="G31" s="585"/>
      <c r="H31" s="214" t="s">
        <v>158</v>
      </c>
      <c r="I31" s="215">
        <v>1</v>
      </c>
      <c r="J31" s="503"/>
      <c r="K31" s="216">
        <f t="shared" si="6"/>
        <v>0</v>
      </c>
      <c r="HV31" s="214" t="s">
        <v>804</v>
      </c>
      <c r="HW31" s="214" t="s">
        <v>814</v>
      </c>
      <c r="IR31" s="217">
        <f t="shared" ref="IR31:IR35" si="9">J31*1</f>
        <v>0</v>
      </c>
      <c r="IS31" s="217">
        <f t="shared" ref="IS31:IS35" si="10">J31*(1-1)</f>
        <v>0</v>
      </c>
    </row>
    <row r="32" spans="1:253" ht="15" customHeight="1" x14ac:dyDescent="0.3">
      <c r="A32" s="213">
        <v>27</v>
      </c>
      <c r="B32" s="214" t="s">
        <v>815</v>
      </c>
      <c r="C32" s="585" t="s">
        <v>816</v>
      </c>
      <c r="D32" s="585"/>
      <c r="E32" s="585"/>
      <c r="F32" s="585"/>
      <c r="G32" s="585"/>
      <c r="H32" s="214" t="s">
        <v>158</v>
      </c>
      <c r="I32" s="215">
        <v>1</v>
      </c>
      <c r="J32" s="503"/>
      <c r="K32" s="216">
        <f t="shared" si="6"/>
        <v>0</v>
      </c>
      <c r="HV32" s="214" t="s">
        <v>804</v>
      </c>
      <c r="HW32" s="214" t="s">
        <v>814</v>
      </c>
      <c r="IR32" s="217">
        <f t="shared" si="9"/>
        <v>0</v>
      </c>
      <c r="IS32" s="217">
        <f t="shared" si="10"/>
        <v>0</v>
      </c>
    </row>
    <row r="33" spans="1:253" ht="15" customHeight="1" x14ac:dyDescent="0.3">
      <c r="A33" s="213">
        <v>28</v>
      </c>
      <c r="B33" s="214" t="s">
        <v>817</v>
      </c>
      <c r="C33" s="585" t="s">
        <v>818</v>
      </c>
      <c r="D33" s="585"/>
      <c r="E33" s="585"/>
      <c r="F33" s="585"/>
      <c r="G33" s="585"/>
      <c r="H33" s="214" t="s">
        <v>819</v>
      </c>
      <c r="I33" s="215">
        <v>1</v>
      </c>
      <c r="J33" s="503"/>
      <c r="K33" s="216">
        <f t="shared" si="6"/>
        <v>0</v>
      </c>
      <c r="HV33" s="214" t="s">
        <v>804</v>
      </c>
      <c r="HW33" s="214" t="s">
        <v>770</v>
      </c>
      <c r="IR33" s="217">
        <f t="shared" si="9"/>
        <v>0</v>
      </c>
      <c r="IS33" s="217">
        <f t="shared" si="10"/>
        <v>0</v>
      </c>
    </row>
    <row r="34" spans="1:253" ht="15" customHeight="1" x14ac:dyDescent="0.3">
      <c r="A34" s="213">
        <v>29</v>
      </c>
      <c r="B34" s="214" t="s">
        <v>820</v>
      </c>
      <c r="C34" s="585" t="s">
        <v>821</v>
      </c>
      <c r="D34" s="585"/>
      <c r="E34" s="585"/>
      <c r="F34" s="585"/>
      <c r="G34" s="585"/>
      <c r="H34" s="214" t="s">
        <v>158</v>
      </c>
      <c r="I34" s="215">
        <v>1</v>
      </c>
      <c r="J34" s="503"/>
      <c r="K34" s="216">
        <f t="shared" si="6"/>
        <v>0</v>
      </c>
      <c r="HV34" s="214" t="s">
        <v>804</v>
      </c>
      <c r="HW34" s="214" t="s">
        <v>770</v>
      </c>
      <c r="IR34" s="217">
        <f t="shared" si="9"/>
        <v>0</v>
      </c>
      <c r="IS34" s="217">
        <f t="shared" si="10"/>
        <v>0</v>
      </c>
    </row>
    <row r="35" spans="1:253" ht="15" customHeight="1" x14ac:dyDescent="0.3">
      <c r="A35" s="213">
        <v>30</v>
      </c>
      <c r="B35" s="214" t="s">
        <v>822</v>
      </c>
      <c r="C35" s="585" t="s">
        <v>823</v>
      </c>
      <c r="D35" s="585"/>
      <c r="E35" s="585"/>
      <c r="F35" s="585"/>
      <c r="G35" s="585"/>
      <c r="H35" s="214" t="s">
        <v>158</v>
      </c>
      <c r="I35" s="215">
        <v>1</v>
      </c>
      <c r="J35" s="503"/>
      <c r="K35" s="216">
        <f t="shared" si="6"/>
        <v>0</v>
      </c>
      <c r="HV35" s="214" t="s">
        <v>804</v>
      </c>
      <c r="HW35" s="214" t="s">
        <v>770</v>
      </c>
      <c r="IR35" s="217">
        <f t="shared" si="9"/>
        <v>0</v>
      </c>
      <c r="IS35" s="217">
        <f t="shared" si="10"/>
        <v>0</v>
      </c>
    </row>
    <row r="36" spans="1:253" ht="15" customHeight="1" x14ac:dyDescent="0.3">
      <c r="A36" s="213">
        <v>31</v>
      </c>
      <c r="B36" s="214" t="s">
        <v>824</v>
      </c>
      <c r="C36" s="585" t="s">
        <v>825</v>
      </c>
      <c r="D36" s="585"/>
      <c r="E36" s="585"/>
      <c r="F36" s="585"/>
      <c r="G36" s="585"/>
      <c r="H36" s="214" t="s">
        <v>158</v>
      </c>
      <c r="I36" s="215">
        <v>1</v>
      </c>
      <c r="J36" s="503"/>
      <c r="K36" s="216">
        <f t="shared" si="6"/>
        <v>0</v>
      </c>
      <c r="HV36" s="214" t="s">
        <v>804</v>
      </c>
      <c r="HW36" s="214" t="s">
        <v>770</v>
      </c>
      <c r="IR36" s="217">
        <f>J36*0.0214898473341564</f>
        <v>0</v>
      </c>
      <c r="IS36" s="217">
        <f>J36*(1-0.0214898473341564)</f>
        <v>0</v>
      </c>
    </row>
    <row r="37" spans="1:253" ht="15" customHeight="1" x14ac:dyDescent="0.3">
      <c r="A37" s="213">
        <v>32</v>
      </c>
      <c r="B37" s="214" t="s">
        <v>826</v>
      </c>
      <c r="C37" s="585" t="s">
        <v>827</v>
      </c>
      <c r="D37" s="585"/>
      <c r="E37" s="585"/>
      <c r="F37" s="585"/>
      <c r="G37" s="585"/>
      <c r="H37" s="214" t="s">
        <v>158</v>
      </c>
      <c r="I37" s="215">
        <v>1</v>
      </c>
      <c r="J37" s="503"/>
      <c r="K37" s="216">
        <f t="shared" si="6"/>
        <v>0</v>
      </c>
      <c r="HV37" s="214" t="s">
        <v>804</v>
      </c>
      <c r="HW37" s="214" t="s">
        <v>770</v>
      </c>
      <c r="IR37" s="217">
        <f>J37*0.92070959377701</f>
        <v>0</v>
      </c>
      <c r="IS37" s="217">
        <f>J37*(1-0.92070959377701)</f>
        <v>0</v>
      </c>
    </row>
    <row r="38" spans="1:253" ht="15" customHeight="1" x14ac:dyDescent="0.3">
      <c r="A38" s="213">
        <v>33</v>
      </c>
      <c r="B38" s="214" t="s">
        <v>828</v>
      </c>
      <c r="C38" s="585" t="s">
        <v>829</v>
      </c>
      <c r="D38" s="585"/>
      <c r="E38" s="585"/>
      <c r="F38" s="585"/>
      <c r="G38" s="585"/>
      <c r="H38" s="214" t="s">
        <v>267</v>
      </c>
      <c r="I38" s="215">
        <v>8.8132999999999999</v>
      </c>
      <c r="J38" s="503"/>
      <c r="K38" s="216">
        <f t="shared" si="6"/>
        <v>0</v>
      </c>
      <c r="HV38" s="214" t="s">
        <v>804</v>
      </c>
      <c r="HW38" s="214" t="s">
        <v>770</v>
      </c>
      <c r="IR38" s="217">
        <f>J38*0</f>
        <v>0</v>
      </c>
      <c r="IS38" s="217">
        <f>J38*(1-0)</f>
        <v>0</v>
      </c>
    </row>
    <row r="39" spans="1:253" ht="15" customHeight="1" x14ac:dyDescent="0.3">
      <c r="A39" s="209" t="s">
        <v>766</v>
      </c>
      <c r="B39" s="210" t="s">
        <v>830</v>
      </c>
      <c r="C39" s="586" t="s">
        <v>831</v>
      </c>
      <c r="D39" s="586"/>
      <c r="E39" s="586"/>
      <c r="F39" s="586"/>
      <c r="G39" s="586"/>
      <c r="H39" s="210" t="s">
        <v>766</v>
      </c>
      <c r="I39" s="211" t="s">
        <v>766</v>
      </c>
      <c r="J39" s="211"/>
      <c r="K39" s="212">
        <f>SUM(K40:K65)</f>
        <v>0</v>
      </c>
    </row>
    <row r="40" spans="1:253" ht="15" customHeight="1" x14ac:dyDescent="0.3">
      <c r="A40" s="213">
        <v>34</v>
      </c>
      <c r="B40" s="214" t="s">
        <v>832</v>
      </c>
      <c r="C40" s="585" t="s">
        <v>833</v>
      </c>
      <c r="D40" s="585"/>
      <c r="E40" s="585"/>
      <c r="F40" s="585"/>
      <c r="G40" s="585"/>
      <c r="H40" s="214" t="s">
        <v>158</v>
      </c>
      <c r="I40" s="215">
        <v>6</v>
      </c>
      <c r="J40" s="503"/>
      <c r="K40" s="216">
        <f t="shared" ref="K40:K65" si="11">IR40*I40+IS40*I40</f>
        <v>0</v>
      </c>
      <c r="HV40" s="214" t="s">
        <v>830</v>
      </c>
      <c r="HW40" s="214" t="s">
        <v>770</v>
      </c>
      <c r="IR40" s="217">
        <f>J40*0.239117199391172</f>
        <v>0</v>
      </c>
      <c r="IS40" s="217">
        <f>J40*(1-0.239117199391172)</f>
        <v>0</v>
      </c>
    </row>
    <row r="41" spans="1:253" ht="15" customHeight="1" x14ac:dyDescent="0.3">
      <c r="A41" s="213">
        <v>35</v>
      </c>
      <c r="B41" s="214" t="s">
        <v>834</v>
      </c>
      <c r="C41" s="585" t="s">
        <v>835</v>
      </c>
      <c r="D41" s="585"/>
      <c r="E41" s="585"/>
      <c r="F41" s="585"/>
      <c r="G41" s="585"/>
      <c r="H41" s="214" t="s">
        <v>158</v>
      </c>
      <c r="I41" s="215">
        <v>3</v>
      </c>
      <c r="J41" s="503"/>
      <c r="K41" s="216">
        <f t="shared" si="11"/>
        <v>0</v>
      </c>
      <c r="HV41" s="214" t="s">
        <v>830</v>
      </c>
      <c r="HW41" s="214" t="s">
        <v>770</v>
      </c>
      <c r="IR41" s="217">
        <f>J41*0.21827633378933</f>
        <v>0</v>
      </c>
      <c r="IS41" s="217">
        <f>J41*(1-0.21827633378933)</f>
        <v>0</v>
      </c>
    </row>
    <row r="42" spans="1:253" ht="15" customHeight="1" x14ac:dyDescent="0.3">
      <c r="A42" s="213">
        <v>36</v>
      </c>
      <c r="B42" s="214" t="s">
        <v>836</v>
      </c>
      <c r="C42" s="585" t="s">
        <v>837</v>
      </c>
      <c r="D42" s="585"/>
      <c r="E42" s="585"/>
      <c r="F42" s="585"/>
      <c r="G42" s="585"/>
      <c r="H42" s="214" t="s">
        <v>158</v>
      </c>
      <c r="I42" s="215">
        <v>6</v>
      </c>
      <c r="J42" s="503"/>
      <c r="K42" s="216">
        <f t="shared" si="11"/>
        <v>0</v>
      </c>
      <c r="HV42" s="214" t="s">
        <v>830</v>
      </c>
      <c r="HW42" s="214" t="s">
        <v>770</v>
      </c>
      <c r="IR42" s="217">
        <f>J42*0.205555555555556</f>
        <v>0</v>
      </c>
      <c r="IS42" s="217">
        <f>J42*(1-0.205555555555556)</f>
        <v>0</v>
      </c>
    </row>
    <row r="43" spans="1:253" ht="15" customHeight="1" x14ac:dyDescent="0.3">
      <c r="A43" s="213">
        <v>37</v>
      </c>
      <c r="B43" s="214" t="s">
        <v>838</v>
      </c>
      <c r="C43" s="585" t="s">
        <v>839</v>
      </c>
      <c r="D43" s="585"/>
      <c r="E43" s="585"/>
      <c r="F43" s="585"/>
      <c r="G43" s="585"/>
      <c r="H43" s="214" t="s">
        <v>178</v>
      </c>
      <c r="I43" s="215">
        <v>16</v>
      </c>
      <c r="J43" s="503"/>
      <c r="K43" s="216">
        <f t="shared" si="11"/>
        <v>0</v>
      </c>
      <c r="HV43" s="214" t="s">
        <v>830</v>
      </c>
      <c r="HW43" s="214" t="s">
        <v>770</v>
      </c>
      <c r="IR43" s="217">
        <f>J43*0.512020665901263</f>
        <v>0</v>
      </c>
      <c r="IS43" s="217">
        <f>J43*(1-0.512020665901263)</f>
        <v>0</v>
      </c>
    </row>
    <row r="44" spans="1:253" ht="15" customHeight="1" x14ac:dyDescent="0.3">
      <c r="A44" s="213">
        <v>38</v>
      </c>
      <c r="B44" s="214" t="s">
        <v>840</v>
      </c>
      <c r="C44" s="585" t="s">
        <v>841</v>
      </c>
      <c r="D44" s="585"/>
      <c r="E44" s="585"/>
      <c r="F44" s="585"/>
      <c r="G44" s="585"/>
      <c r="H44" s="214" t="s">
        <v>178</v>
      </c>
      <c r="I44" s="215">
        <v>31</v>
      </c>
      <c r="J44" s="503"/>
      <c r="K44" s="216">
        <f t="shared" si="11"/>
        <v>0</v>
      </c>
      <c r="HV44" s="214" t="s">
        <v>830</v>
      </c>
      <c r="HW44" s="214" t="s">
        <v>770</v>
      </c>
      <c r="IR44" s="217">
        <f>J44*0.583712047012733</f>
        <v>0</v>
      </c>
      <c r="IS44" s="217">
        <f>J44*(1-0.583712047012733)</f>
        <v>0</v>
      </c>
    </row>
    <row r="45" spans="1:253" ht="15" customHeight="1" x14ac:dyDescent="0.3">
      <c r="A45" s="213">
        <v>39</v>
      </c>
      <c r="B45" s="214" t="s">
        <v>842</v>
      </c>
      <c r="C45" s="585" t="s">
        <v>843</v>
      </c>
      <c r="D45" s="585"/>
      <c r="E45" s="585"/>
      <c r="F45" s="585"/>
      <c r="G45" s="585"/>
      <c r="H45" s="214" t="s">
        <v>178</v>
      </c>
      <c r="I45" s="215">
        <v>13</v>
      </c>
      <c r="J45" s="503"/>
      <c r="K45" s="216">
        <f t="shared" si="11"/>
        <v>0</v>
      </c>
      <c r="HV45" s="214" t="s">
        <v>830</v>
      </c>
      <c r="HW45" s="214" t="s">
        <v>770</v>
      </c>
      <c r="IR45" s="217">
        <f>J45*0.720647424927581</f>
        <v>0</v>
      </c>
      <c r="IS45" s="217">
        <f>J45*(1-0.720647424927581)</f>
        <v>0</v>
      </c>
    </row>
    <row r="46" spans="1:253" ht="15" customHeight="1" x14ac:dyDescent="0.3">
      <c r="A46" s="213">
        <v>40</v>
      </c>
      <c r="B46" s="214" t="s">
        <v>844</v>
      </c>
      <c r="C46" s="585" t="s">
        <v>845</v>
      </c>
      <c r="D46" s="585"/>
      <c r="E46" s="585"/>
      <c r="F46" s="585"/>
      <c r="G46" s="585"/>
      <c r="H46" s="214" t="s">
        <v>178</v>
      </c>
      <c r="I46" s="215">
        <v>2</v>
      </c>
      <c r="J46" s="503"/>
      <c r="K46" s="216">
        <f t="shared" si="11"/>
        <v>0</v>
      </c>
      <c r="HV46" s="214" t="s">
        <v>830</v>
      </c>
      <c r="HW46" s="214" t="s">
        <v>770</v>
      </c>
      <c r="IR46" s="217">
        <f>J46*0.70015873015873</f>
        <v>0</v>
      </c>
      <c r="IS46" s="217">
        <f>J46*(1-0.70015873015873)</f>
        <v>0</v>
      </c>
    </row>
    <row r="47" spans="1:253" ht="15" customHeight="1" x14ac:dyDescent="0.3">
      <c r="A47" s="213">
        <v>41</v>
      </c>
      <c r="B47" s="214" t="s">
        <v>846</v>
      </c>
      <c r="C47" s="585" t="s">
        <v>847</v>
      </c>
      <c r="D47" s="585"/>
      <c r="E47" s="585"/>
      <c r="F47" s="585"/>
      <c r="G47" s="585"/>
      <c r="H47" s="214" t="s">
        <v>178</v>
      </c>
      <c r="I47" s="215">
        <v>7</v>
      </c>
      <c r="J47" s="503"/>
      <c r="K47" s="216">
        <f t="shared" si="11"/>
        <v>0</v>
      </c>
      <c r="HV47" s="214" t="s">
        <v>830</v>
      </c>
      <c r="HW47" s="214" t="s">
        <v>770</v>
      </c>
      <c r="IR47" s="217">
        <f>J47*0.658783542039356</f>
        <v>0</v>
      </c>
      <c r="IS47" s="217">
        <f>J47*(1-0.658783542039356)</f>
        <v>0</v>
      </c>
    </row>
    <row r="48" spans="1:253" ht="15" customHeight="1" x14ac:dyDescent="0.3">
      <c r="A48" s="213">
        <v>42</v>
      </c>
      <c r="B48" s="214" t="s">
        <v>848</v>
      </c>
      <c r="C48" s="585" t="s">
        <v>849</v>
      </c>
      <c r="D48" s="585"/>
      <c r="E48" s="585"/>
      <c r="F48" s="585"/>
      <c r="G48" s="585"/>
      <c r="H48" s="214" t="s">
        <v>178</v>
      </c>
      <c r="I48" s="215">
        <v>1.5</v>
      </c>
      <c r="J48" s="503"/>
      <c r="K48" s="216">
        <f t="shared" si="11"/>
        <v>0</v>
      </c>
      <c r="HV48" s="214" t="s">
        <v>830</v>
      </c>
      <c r="HW48" s="214" t="s">
        <v>770</v>
      </c>
      <c r="IR48" s="217">
        <f>J48*0.659261891744122</f>
        <v>0</v>
      </c>
      <c r="IS48" s="217">
        <f>J48*(1-0.659261891744122)</f>
        <v>0</v>
      </c>
    </row>
    <row r="49" spans="1:253" ht="15" customHeight="1" x14ac:dyDescent="0.3">
      <c r="A49" s="213">
        <v>43</v>
      </c>
      <c r="B49" s="214" t="s">
        <v>850</v>
      </c>
      <c r="C49" s="585" t="s">
        <v>851</v>
      </c>
      <c r="D49" s="585"/>
      <c r="E49" s="585"/>
      <c r="F49" s="585"/>
      <c r="G49" s="585"/>
      <c r="H49" s="214" t="s">
        <v>178</v>
      </c>
      <c r="I49" s="215">
        <v>5</v>
      </c>
      <c r="J49" s="503"/>
      <c r="K49" s="216">
        <f t="shared" si="11"/>
        <v>0</v>
      </c>
      <c r="HV49" s="214" t="s">
        <v>830</v>
      </c>
      <c r="HW49" s="214" t="s">
        <v>770</v>
      </c>
      <c r="IR49" s="217">
        <f>J49*0.641169621549311</f>
        <v>0</v>
      </c>
      <c r="IS49" s="217">
        <f>J49*(1-0.641169621549311)</f>
        <v>0</v>
      </c>
    </row>
    <row r="50" spans="1:253" ht="15" customHeight="1" x14ac:dyDescent="0.3">
      <c r="A50" s="213">
        <v>44</v>
      </c>
      <c r="B50" s="214" t="s">
        <v>852</v>
      </c>
      <c r="C50" s="585" t="s">
        <v>853</v>
      </c>
      <c r="D50" s="585"/>
      <c r="E50" s="585"/>
      <c r="F50" s="585"/>
      <c r="G50" s="585"/>
      <c r="H50" s="214" t="s">
        <v>178</v>
      </c>
      <c r="I50" s="215">
        <v>23</v>
      </c>
      <c r="J50" s="503"/>
      <c r="K50" s="216">
        <f t="shared" si="11"/>
        <v>0</v>
      </c>
      <c r="HV50" s="214" t="s">
        <v>830</v>
      </c>
      <c r="HW50" s="214" t="s">
        <v>770</v>
      </c>
      <c r="IR50" s="217">
        <f>J50*0.701377118644068</f>
        <v>0</v>
      </c>
      <c r="IS50" s="217">
        <f>J50*(1-0.701377118644068)</f>
        <v>0</v>
      </c>
    </row>
    <row r="51" spans="1:253" ht="15" customHeight="1" x14ac:dyDescent="0.3">
      <c r="A51" s="213">
        <v>45</v>
      </c>
      <c r="B51" s="214" t="s">
        <v>854</v>
      </c>
      <c r="C51" s="585" t="s">
        <v>855</v>
      </c>
      <c r="D51" s="585"/>
      <c r="E51" s="585"/>
      <c r="F51" s="585"/>
      <c r="G51" s="585"/>
      <c r="H51" s="214" t="s">
        <v>158</v>
      </c>
      <c r="I51" s="215">
        <v>2</v>
      </c>
      <c r="J51" s="503"/>
      <c r="K51" s="216">
        <f t="shared" si="11"/>
        <v>0</v>
      </c>
      <c r="HV51" s="214" t="s">
        <v>830</v>
      </c>
      <c r="HW51" s="214" t="s">
        <v>770</v>
      </c>
      <c r="IR51" s="217">
        <f>J51*0.800379098360656</f>
        <v>0</v>
      </c>
      <c r="IS51" s="217">
        <f>J51*(1-0.800379098360656)</f>
        <v>0</v>
      </c>
    </row>
    <row r="52" spans="1:253" ht="15" customHeight="1" x14ac:dyDescent="0.3">
      <c r="A52" s="213">
        <v>46</v>
      </c>
      <c r="B52" s="214" t="s">
        <v>856</v>
      </c>
      <c r="C52" s="585" t="s">
        <v>857</v>
      </c>
      <c r="D52" s="585"/>
      <c r="E52" s="585"/>
      <c r="F52" s="585"/>
      <c r="G52" s="585"/>
      <c r="H52" s="214" t="s">
        <v>158</v>
      </c>
      <c r="I52" s="215">
        <v>1</v>
      </c>
      <c r="J52" s="503"/>
      <c r="K52" s="216">
        <f t="shared" si="11"/>
        <v>0</v>
      </c>
      <c r="HV52" s="214" t="s">
        <v>830</v>
      </c>
      <c r="HW52" s="214" t="s">
        <v>770</v>
      </c>
      <c r="IR52" s="217">
        <f t="shared" ref="IR52:IR55" si="12">J52*0</f>
        <v>0</v>
      </c>
      <c r="IS52" s="217">
        <f t="shared" ref="IS52:IS55" si="13">J52*(1-0)</f>
        <v>0</v>
      </c>
    </row>
    <row r="53" spans="1:253" ht="15" customHeight="1" x14ac:dyDescent="0.3">
      <c r="A53" s="213">
        <v>47</v>
      </c>
      <c r="B53" s="214" t="s">
        <v>858</v>
      </c>
      <c r="C53" s="585" t="s">
        <v>859</v>
      </c>
      <c r="D53" s="585"/>
      <c r="E53" s="585"/>
      <c r="F53" s="585"/>
      <c r="G53" s="585"/>
      <c r="H53" s="214" t="s">
        <v>158</v>
      </c>
      <c r="I53" s="215">
        <v>3</v>
      </c>
      <c r="J53" s="503"/>
      <c r="K53" s="216">
        <f t="shared" si="11"/>
        <v>0</v>
      </c>
      <c r="HV53" s="214" t="s">
        <v>830</v>
      </c>
      <c r="HW53" s="214" t="s">
        <v>770</v>
      </c>
      <c r="IR53" s="217">
        <f t="shared" si="12"/>
        <v>0</v>
      </c>
      <c r="IS53" s="217">
        <f t="shared" si="13"/>
        <v>0</v>
      </c>
    </row>
    <row r="54" spans="1:253" ht="15" customHeight="1" x14ac:dyDescent="0.3">
      <c r="A54" s="213">
        <v>48</v>
      </c>
      <c r="B54" s="214" t="s">
        <v>860</v>
      </c>
      <c r="C54" s="585" t="s">
        <v>861</v>
      </c>
      <c r="D54" s="585"/>
      <c r="E54" s="585"/>
      <c r="F54" s="585"/>
      <c r="G54" s="585"/>
      <c r="H54" s="214" t="s">
        <v>158</v>
      </c>
      <c r="I54" s="215">
        <v>17</v>
      </c>
      <c r="J54" s="503"/>
      <c r="K54" s="216">
        <f t="shared" si="11"/>
        <v>0</v>
      </c>
      <c r="HV54" s="214" t="s">
        <v>830</v>
      </c>
      <c r="HW54" s="214" t="s">
        <v>770</v>
      </c>
      <c r="IR54" s="217">
        <f t="shared" si="12"/>
        <v>0</v>
      </c>
      <c r="IS54" s="217">
        <f t="shared" si="13"/>
        <v>0</v>
      </c>
    </row>
    <row r="55" spans="1:253" ht="15" customHeight="1" x14ac:dyDescent="0.3">
      <c r="A55" s="213">
        <v>49</v>
      </c>
      <c r="B55" s="214" t="s">
        <v>862</v>
      </c>
      <c r="C55" s="585" t="s">
        <v>863</v>
      </c>
      <c r="D55" s="585"/>
      <c r="E55" s="585"/>
      <c r="F55" s="585"/>
      <c r="G55" s="585"/>
      <c r="H55" s="214" t="s">
        <v>158</v>
      </c>
      <c r="I55" s="215">
        <v>5</v>
      </c>
      <c r="J55" s="503"/>
      <c r="K55" s="216">
        <f t="shared" si="11"/>
        <v>0</v>
      </c>
      <c r="HV55" s="214" t="s">
        <v>830</v>
      </c>
      <c r="HW55" s="214" t="s">
        <v>770</v>
      </c>
      <c r="IR55" s="217">
        <f t="shared" si="12"/>
        <v>0</v>
      </c>
      <c r="IS55" s="217">
        <f t="shared" si="13"/>
        <v>0</v>
      </c>
    </row>
    <row r="56" spans="1:253" ht="15" customHeight="1" x14ac:dyDescent="0.3">
      <c r="A56" s="213">
        <v>50</v>
      </c>
      <c r="B56" s="214" t="s">
        <v>864</v>
      </c>
      <c r="C56" s="585" t="s">
        <v>865</v>
      </c>
      <c r="D56" s="585"/>
      <c r="E56" s="585"/>
      <c r="F56" s="585"/>
      <c r="G56" s="585"/>
      <c r="H56" s="214" t="s">
        <v>158</v>
      </c>
      <c r="I56" s="215">
        <v>1</v>
      </c>
      <c r="J56" s="503"/>
      <c r="K56" s="216">
        <f t="shared" si="11"/>
        <v>0</v>
      </c>
      <c r="HV56" s="214" t="s">
        <v>830</v>
      </c>
      <c r="HW56" s="214" t="s">
        <v>770</v>
      </c>
      <c r="IR56" s="217">
        <f>J56*0.941389961389961</f>
        <v>0</v>
      </c>
      <c r="IS56" s="217">
        <f>J56*(1-0.941389961389961)</f>
        <v>0</v>
      </c>
    </row>
    <row r="57" spans="1:253" ht="15" customHeight="1" x14ac:dyDescent="0.3">
      <c r="A57" s="213">
        <v>51</v>
      </c>
      <c r="B57" s="214" t="s">
        <v>866</v>
      </c>
      <c r="C57" s="585" t="s">
        <v>1224</v>
      </c>
      <c r="D57" s="585"/>
      <c r="E57" s="585"/>
      <c r="F57" s="585"/>
      <c r="G57" s="585"/>
      <c r="H57" s="214" t="s">
        <v>158</v>
      </c>
      <c r="I57" s="215">
        <v>4</v>
      </c>
      <c r="J57" s="503"/>
      <c r="K57" s="216">
        <f t="shared" si="11"/>
        <v>0</v>
      </c>
      <c r="HV57" s="214" t="s">
        <v>830</v>
      </c>
      <c r="HW57" s="214" t="s">
        <v>770</v>
      </c>
      <c r="IR57" s="217">
        <f t="shared" ref="IR57:IR59" si="14">J57*1</f>
        <v>0</v>
      </c>
      <c r="IS57" s="217">
        <f t="shared" ref="IS57:IS59" si="15">J57*(1-1)</f>
        <v>0</v>
      </c>
    </row>
    <row r="58" spans="1:253" ht="15" customHeight="1" x14ac:dyDescent="0.3">
      <c r="A58" s="213">
        <v>52</v>
      </c>
      <c r="B58" s="214" t="s">
        <v>867</v>
      </c>
      <c r="C58" s="585" t="s">
        <v>868</v>
      </c>
      <c r="D58" s="585"/>
      <c r="E58" s="585"/>
      <c r="F58" s="585"/>
      <c r="G58" s="585"/>
      <c r="H58" s="214" t="s">
        <v>158</v>
      </c>
      <c r="I58" s="215">
        <v>1</v>
      </c>
      <c r="J58" s="503"/>
      <c r="K58" s="216">
        <f t="shared" si="11"/>
        <v>0</v>
      </c>
      <c r="HV58" s="214" t="s">
        <v>830</v>
      </c>
      <c r="HW58" s="214" t="s">
        <v>770</v>
      </c>
      <c r="IR58" s="217">
        <f t="shared" si="14"/>
        <v>0</v>
      </c>
      <c r="IS58" s="217">
        <f t="shared" si="15"/>
        <v>0</v>
      </c>
    </row>
    <row r="59" spans="1:253" ht="15" customHeight="1" x14ac:dyDescent="0.3">
      <c r="A59" s="213">
        <v>53</v>
      </c>
      <c r="B59" s="214" t="s">
        <v>869</v>
      </c>
      <c r="C59" s="585" t="s">
        <v>870</v>
      </c>
      <c r="D59" s="585"/>
      <c r="E59" s="585"/>
      <c r="F59" s="585"/>
      <c r="G59" s="585"/>
      <c r="H59" s="214" t="s">
        <v>158</v>
      </c>
      <c r="I59" s="215">
        <v>6</v>
      </c>
      <c r="J59" s="503"/>
      <c r="K59" s="216">
        <f t="shared" si="11"/>
        <v>0</v>
      </c>
      <c r="HV59" s="214" t="s">
        <v>830</v>
      </c>
      <c r="HW59" s="214" t="s">
        <v>770</v>
      </c>
      <c r="IR59" s="217">
        <f t="shared" si="14"/>
        <v>0</v>
      </c>
      <c r="IS59" s="217">
        <f t="shared" si="15"/>
        <v>0</v>
      </c>
    </row>
    <row r="60" spans="1:253" ht="15" customHeight="1" x14ac:dyDescent="0.3">
      <c r="A60" s="213">
        <v>54</v>
      </c>
      <c r="B60" s="214" t="s">
        <v>871</v>
      </c>
      <c r="C60" s="585" t="s">
        <v>872</v>
      </c>
      <c r="D60" s="585"/>
      <c r="E60" s="585"/>
      <c r="F60" s="585"/>
      <c r="G60" s="585"/>
      <c r="H60" s="214" t="s">
        <v>158</v>
      </c>
      <c r="I60" s="215">
        <v>2</v>
      </c>
      <c r="J60" s="503"/>
      <c r="K60" s="216">
        <f t="shared" si="11"/>
        <v>0</v>
      </c>
      <c r="HV60" s="214" t="s">
        <v>830</v>
      </c>
      <c r="HW60" s="214" t="s">
        <v>770</v>
      </c>
      <c r="IR60" s="217">
        <f>J60*0.866520748407858</f>
        <v>0</v>
      </c>
      <c r="IS60" s="217">
        <f>J60*(1-0.866520748407858)</f>
        <v>0</v>
      </c>
    </row>
    <row r="61" spans="1:253" ht="15" customHeight="1" x14ac:dyDescent="0.3">
      <c r="A61" s="213">
        <v>55</v>
      </c>
      <c r="B61" s="214" t="s">
        <v>873</v>
      </c>
      <c r="C61" s="585" t="s">
        <v>874</v>
      </c>
      <c r="D61" s="585"/>
      <c r="E61" s="585"/>
      <c r="F61" s="585"/>
      <c r="G61" s="585"/>
      <c r="H61" s="214" t="s">
        <v>158</v>
      </c>
      <c r="I61" s="215">
        <v>3</v>
      </c>
      <c r="J61" s="503"/>
      <c r="K61" s="216">
        <f t="shared" si="11"/>
        <v>0</v>
      </c>
      <c r="HV61" s="214" t="s">
        <v>830</v>
      </c>
      <c r="HW61" s="214" t="s">
        <v>770</v>
      </c>
      <c r="IR61" s="217">
        <f>J61*0.573613666228647</f>
        <v>0</v>
      </c>
      <c r="IS61" s="217">
        <f>J61*(1-0.573613666228647)</f>
        <v>0</v>
      </c>
    </row>
    <row r="62" spans="1:253" ht="15" customHeight="1" x14ac:dyDescent="0.3">
      <c r="A62" s="213">
        <v>56</v>
      </c>
      <c r="B62" s="214" t="s">
        <v>875</v>
      </c>
      <c r="C62" s="585" t="s">
        <v>876</v>
      </c>
      <c r="D62" s="585"/>
      <c r="E62" s="585"/>
      <c r="F62" s="585"/>
      <c r="G62" s="585"/>
      <c r="H62" s="214" t="s">
        <v>158</v>
      </c>
      <c r="I62" s="215">
        <v>3</v>
      </c>
      <c r="J62" s="503"/>
      <c r="K62" s="216">
        <f t="shared" si="11"/>
        <v>0</v>
      </c>
      <c r="HV62" s="214" t="s">
        <v>830</v>
      </c>
      <c r="HW62" s="214" t="s">
        <v>770</v>
      </c>
      <c r="IR62" s="217">
        <f>J62*0.817502812148481</f>
        <v>0</v>
      </c>
      <c r="IS62" s="217">
        <f>J62*(1-0.817502812148481)</f>
        <v>0</v>
      </c>
    </row>
    <row r="63" spans="1:253" ht="15" customHeight="1" x14ac:dyDescent="0.3">
      <c r="A63" s="213">
        <v>57</v>
      </c>
      <c r="B63" s="214" t="s">
        <v>877</v>
      </c>
      <c r="C63" s="585" t="s">
        <v>878</v>
      </c>
      <c r="D63" s="585"/>
      <c r="E63" s="585"/>
      <c r="F63" s="585"/>
      <c r="G63" s="585"/>
      <c r="H63" s="214" t="s">
        <v>178</v>
      </c>
      <c r="I63" s="215">
        <v>85.5</v>
      </c>
      <c r="J63" s="503"/>
      <c r="K63" s="216">
        <f t="shared" si="11"/>
        <v>0</v>
      </c>
      <c r="HV63" s="214" t="s">
        <v>830</v>
      </c>
      <c r="HW63" s="214" t="s">
        <v>770</v>
      </c>
      <c r="IR63" s="217">
        <f>J63*0.0281368821292776</f>
        <v>0</v>
      </c>
      <c r="IS63" s="217">
        <f>J63*(1-0.0281368821292776)</f>
        <v>0</v>
      </c>
    </row>
    <row r="64" spans="1:253" ht="15" customHeight="1" x14ac:dyDescent="0.3">
      <c r="A64" s="213">
        <v>58</v>
      </c>
      <c r="B64" s="214" t="s">
        <v>879</v>
      </c>
      <c r="C64" s="585" t="s">
        <v>880</v>
      </c>
      <c r="D64" s="585"/>
      <c r="E64" s="585"/>
      <c r="F64" s="585"/>
      <c r="G64" s="585"/>
      <c r="H64" s="214" t="s">
        <v>178</v>
      </c>
      <c r="I64" s="215">
        <v>13</v>
      </c>
      <c r="J64" s="503"/>
      <c r="K64" s="216">
        <f t="shared" si="11"/>
        <v>0</v>
      </c>
      <c r="HV64" s="214" t="s">
        <v>830</v>
      </c>
      <c r="HW64" s="214" t="s">
        <v>770</v>
      </c>
      <c r="IR64" s="217">
        <f>J64*0.0856893034100845</f>
        <v>0</v>
      </c>
      <c r="IS64" s="217">
        <f>J64*(1-0.0856893034100845)</f>
        <v>0</v>
      </c>
    </row>
    <row r="65" spans="1:253" ht="15" customHeight="1" x14ac:dyDescent="0.3">
      <c r="A65" s="213">
        <v>59</v>
      </c>
      <c r="B65" s="214" t="s">
        <v>881</v>
      </c>
      <c r="C65" s="585" t="s">
        <v>882</v>
      </c>
      <c r="D65" s="585"/>
      <c r="E65" s="585"/>
      <c r="F65" s="585"/>
      <c r="G65" s="585"/>
      <c r="H65" s="214" t="s">
        <v>0</v>
      </c>
      <c r="I65" s="503"/>
      <c r="J65" s="503"/>
      <c r="K65" s="216">
        <f t="shared" si="11"/>
        <v>0</v>
      </c>
      <c r="HV65" s="214" t="s">
        <v>830</v>
      </c>
      <c r="HW65" s="214" t="s">
        <v>770</v>
      </c>
      <c r="IR65" s="217">
        <f>J65*0</f>
        <v>0</v>
      </c>
      <c r="IS65" s="217">
        <f>J65*(1-0)</f>
        <v>0</v>
      </c>
    </row>
    <row r="66" spans="1:253" ht="15" customHeight="1" x14ac:dyDescent="0.3">
      <c r="A66" s="209" t="s">
        <v>766</v>
      </c>
      <c r="B66" s="210" t="s">
        <v>883</v>
      </c>
      <c r="C66" s="586" t="s">
        <v>884</v>
      </c>
      <c r="D66" s="586"/>
      <c r="E66" s="586"/>
      <c r="F66" s="586"/>
      <c r="G66" s="586"/>
      <c r="H66" s="210" t="s">
        <v>766</v>
      </c>
      <c r="I66" s="211" t="s">
        <v>766</v>
      </c>
      <c r="J66" s="211" t="s">
        <v>766</v>
      </c>
      <c r="K66" s="212">
        <f>SUM(K67:K110)</f>
        <v>0</v>
      </c>
    </row>
    <row r="67" spans="1:253" ht="15" customHeight="1" x14ac:dyDescent="0.3">
      <c r="A67" s="213">
        <v>60</v>
      </c>
      <c r="B67" s="214" t="s">
        <v>885</v>
      </c>
      <c r="C67" s="585" t="s">
        <v>886</v>
      </c>
      <c r="D67" s="585"/>
      <c r="E67" s="585"/>
      <c r="F67" s="585"/>
      <c r="G67" s="585"/>
      <c r="H67" s="214" t="s">
        <v>178</v>
      </c>
      <c r="I67" s="215">
        <v>24</v>
      </c>
      <c r="J67" s="503"/>
      <c r="K67" s="216">
        <f t="shared" ref="K67:K110" si="16">IR67*I67+IS67*I67</f>
        <v>0</v>
      </c>
      <c r="HV67" s="214" t="s">
        <v>883</v>
      </c>
      <c r="HW67" s="214" t="s">
        <v>770</v>
      </c>
      <c r="IR67" s="217">
        <f>J67*0.29319783197832</f>
        <v>0</v>
      </c>
      <c r="IS67" s="217">
        <f>J67*(1-0.29319783197832)</f>
        <v>0</v>
      </c>
    </row>
    <row r="68" spans="1:253" ht="15" customHeight="1" x14ac:dyDescent="0.3">
      <c r="A68" s="213">
        <v>61</v>
      </c>
      <c r="B68" s="214" t="s">
        <v>887</v>
      </c>
      <c r="C68" s="585" t="s">
        <v>888</v>
      </c>
      <c r="D68" s="585"/>
      <c r="E68" s="585"/>
      <c r="F68" s="585"/>
      <c r="G68" s="585"/>
      <c r="H68" s="214" t="s">
        <v>178</v>
      </c>
      <c r="I68" s="215">
        <v>12</v>
      </c>
      <c r="J68" s="503"/>
      <c r="K68" s="216">
        <f t="shared" si="16"/>
        <v>0</v>
      </c>
      <c r="HV68" s="214" t="s">
        <v>883</v>
      </c>
      <c r="HW68" s="214" t="s">
        <v>770</v>
      </c>
      <c r="IR68" s="217">
        <f>J68*0.345550847457627</f>
        <v>0</v>
      </c>
      <c r="IS68" s="217">
        <f>J68*(1-0.345550847457627)</f>
        <v>0</v>
      </c>
    </row>
    <row r="69" spans="1:253" ht="15" customHeight="1" x14ac:dyDescent="0.3">
      <c r="A69" s="213">
        <v>62</v>
      </c>
      <c r="B69" s="214" t="s">
        <v>889</v>
      </c>
      <c r="C69" s="585" t="s">
        <v>890</v>
      </c>
      <c r="D69" s="585"/>
      <c r="E69" s="585"/>
      <c r="F69" s="585"/>
      <c r="G69" s="585"/>
      <c r="H69" s="214" t="s">
        <v>178</v>
      </c>
      <c r="I69" s="215">
        <v>24</v>
      </c>
      <c r="J69" s="503"/>
      <c r="K69" s="216">
        <f t="shared" si="16"/>
        <v>0</v>
      </c>
      <c r="HV69" s="214" t="s">
        <v>883</v>
      </c>
      <c r="HW69" s="214" t="s">
        <v>770</v>
      </c>
      <c r="IR69" s="217">
        <f>J69*0.0402487562189055</f>
        <v>0</v>
      </c>
      <c r="IS69" s="217">
        <f>J69*(1-0.0402487562189055)</f>
        <v>0</v>
      </c>
    </row>
    <row r="70" spans="1:253" ht="15" customHeight="1" x14ac:dyDescent="0.3">
      <c r="A70" s="213">
        <v>63</v>
      </c>
      <c r="B70" s="214" t="s">
        <v>891</v>
      </c>
      <c r="C70" s="585" t="s">
        <v>892</v>
      </c>
      <c r="D70" s="585"/>
      <c r="E70" s="585"/>
      <c r="F70" s="585"/>
      <c r="G70" s="585"/>
      <c r="H70" s="214" t="s">
        <v>178</v>
      </c>
      <c r="I70" s="215">
        <v>69</v>
      </c>
      <c r="J70" s="503"/>
      <c r="K70" s="216">
        <f t="shared" si="16"/>
        <v>0</v>
      </c>
      <c r="HV70" s="214" t="s">
        <v>883</v>
      </c>
      <c r="HW70" s="214" t="s">
        <v>770</v>
      </c>
      <c r="IR70" s="217">
        <f>J70*0.0369406392694064</f>
        <v>0</v>
      </c>
      <c r="IS70" s="217">
        <f>J70*(1-0.0369406392694064)</f>
        <v>0</v>
      </c>
    </row>
    <row r="71" spans="1:253" ht="15" customHeight="1" x14ac:dyDescent="0.3">
      <c r="A71" s="213">
        <v>64</v>
      </c>
      <c r="B71" s="214" t="s">
        <v>893</v>
      </c>
      <c r="C71" s="585" t="s">
        <v>894</v>
      </c>
      <c r="D71" s="585"/>
      <c r="E71" s="585"/>
      <c r="F71" s="585"/>
      <c r="G71" s="585"/>
      <c r="H71" s="214" t="s">
        <v>178</v>
      </c>
      <c r="I71" s="215">
        <v>7</v>
      </c>
      <c r="J71" s="503"/>
      <c r="K71" s="216">
        <f t="shared" si="16"/>
        <v>0</v>
      </c>
      <c r="HV71" s="214" t="s">
        <v>883</v>
      </c>
      <c r="HW71" s="214" t="s">
        <v>770</v>
      </c>
      <c r="IR71" s="217">
        <f>J71*0.0312355212355212</f>
        <v>0</v>
      </c>
      <c r="IS71" s="217">
        <f>J71*(1-0.0312355212355212)</f>
        <v>0</v>
      </c>
    </row>
    <row r="72" spans="1:253" ht="15" customHeight="1" x14ac:dyDescent="0.3">
      <c r="A72" s="213">
        <v>65</v>
      </c>
      <c r="B72" s="214" t="s">
        <v>895</v>
      </c>
      <c r="C72" s="585" t="s">
        <v>896</v>
      </c>
      <c r="D72" s="585"/>
      <c r="E72" s="585"/>
      <c r="F72" s="585"/>
      <c r="G72" s="585"/>
      <c r="H72" s="214" t="s">
        <v>178</v>
      </c>
      <c r="I72" s="215">
        <v>3</v>
      </c>
      <c r="J72" s="503"/>
      <c r="K72" s="216">
        <f t="shared" si="16"/>
        <v>0</v>
      </c>
      <c r="HV72" s="214" t="s">
        <v>883</v>
      </c>
      <c r="HW72" s="214" t="s">
        <v>770</v>
      </c>
      <c r="IR72" s="217">
        <f>J72*0.028989898989899</f>
        <v>0</v>
      </c>
      <c r="IS72" s="217">
        <f>J72*(1-0.028989898989899)</f>
        <v>0</v>
      </c>
    </row>
    <row r="73" spans="1:253" ht="15" customHeight="1" x14ac:dyDescent="0.3">
      <c r="A73" s="213">
        <v>66</v>
      </c>
      <c r="B73" s="214" t="s">
        <v>897</v>
      </c>
      <c r="C73" s="585" t="s">
        <v>898</v>
      </c>
      <c r="D73" s="585"/>
      <c r="E73" s="585"/>
      <c r="F73" s="585"/>
      <c r="G73" s="585"/>
      <c r="H73" s="214" t="s">
        <v>178</v>
      </c>
      <c r="I73" s="215">
        <v>57</v>
      </c>
      <c r="J73" s="503"/>
      <c r="K73" s="216">
        <f t="shared" si="16"/>
        <v>0</v>
      </c>
      <c r="HV73" s="214" t="s">
        <v>883</v>
      </c>
      <c r="HW73" s="214" t="s">
        <v>770</v>
      </c>
      <c r="IR73" s="217">
        <f>J73*0.540285258058405</f>
        <v>0</v>
      </c>
      <c r="IS73" s="217">
        <f>J73*(1-0.540285258058405)</f>
        <v>0</v>
      </c>
    </row>
    <row r="74" spans="1:253" ht="15" customHeight="1" x14ac:dyDescent="0.3">
      <c r="A74" s="213">
        <v>67</v>
      </c>
      <c r="B74" s="214" t="s">
        <v>899</v>
      </c>
      <c r="C74" s="585" t="s">
        <v>900</v>
      </c>
      <c r="D74" s="585"/>
      <c r="E74" s="585"/>
      <c r="F74" s="585"/>
      <c r="G74" s="585"/>
      <c r="H74" s="214" t="s">
        <v>178</v>
      </c>
      <c r="I74" s="215">
        <v>7</v>
      </c>
      <c r="J74" s="503"/>
      <c r="K74" s="216">
        <f t="shared" si="16"/>
        <v>0</v>
      </c>
      <c r="HV74" s="214" t="s">
        <v>883</v>
      </c>
      <c r="HW74" s="214" t="s">
        <v>770</v>
      </c>
      <c r="IR74" s="217">
        <f>J74*0.617862903225806</f>
        <v>0</v>
      </c>
      <c r="IS74" s="217">
        <f>J74*(1-0.617862903225806)</f>
        <v>0</v>
      </c>
    </row>
    <row r="75" spans="1:253" ht="15" customHeight="1" x14ac:dyDescent="0.3">
      <c r="A75" s="213">
        <v>68</v>
      </c>
      <c r="B75" s="214" t="s">
        <v>901</v>
      </c>
      <c r="C75" s="585" t="s">
        <v>902</v>
      </c>
      <c r="D75" s="585"/>
      <c r="E75" s="585"/>
      <c r="F75" s="585"/>
      <c r="G75" s="585"/>
      <c r="H75" s="214" t="s">
        <v>178</v>
      </c>
      <c r="I75" s="215">
        <v>3</v>
      </c>
      <c r="J75" s="503"/>
      <c r="K75" s="216">
        <f t="shared" si="16"/>
        <v>0</v>
      </c>
      <c r="HV75" s="214" t="s">
        <v>883</v>
      </c>
      <c r="HW75" s="214" t="s">
        <v>770</v>
      </c>
      <c r="IR75" s="217">
        <f>J75*0.713577023498695</f>
        <v>0</v>
      </c>
      <c r="IS75" s="217">
        <f>J75*(1-0.713577023498695)</f>
        <v>0</v>
      </c>
    </row>
    <row r="76" spans="1:253" ht="15" customHeight="1" x14ac:dyDescent="0.3">
      <c r="A76" s="213">
        <v>69</v>
      </c>
      <c r="B76" s="214" t="s">
        <v>903</v>
      </c>
      <c r="C76" s="585" t="s">
        <v>904</v>
      </c>
      <c r="D76" s="585"/>
      <c r="E76" s="585"/>
      <c r="F76" s="585"/>
      <c r="G76" s="585"/>
      <c r="H76" s="214" t="s">
        <v>178</v>
      </c>
      <c r="I76" s="215">
        <v>24</v>
      </c>
      <c r="J76" s="503"/>
      <c r="K76" s="216">
        <f t="shared" si="16"/>
        <v>0</v>
      </c>
      <c r="HV76" s="214" t="s">
        <v>883</v>
      </c>
      <c r="HW76" s="214" t="s">
        <v>770</v>
      </c>
      <c r="IR76" s="217">
        <f>J76*0.263934426229508</f>
        <v>0</v>
      </c>
      <c r="IS76" s="217">
        <f>J76*(1-0.263934426229508)</f>
        <v>0</v>
      </c>
    </row>
    <row r="77" spans="1:253" ht="15" customHeight="1" x14ac:dyDescent="0.3">
      <c r="A77" s="213">
        <v>70</v>
      </c>
      <c r="B77" s="214" t="s">
        <v>905</v>
      </c>
      <c r="C77" s="585" t="s">
        <v>906</v>
      </c>
      <c r="D77" s="585"/>
      <c r="E77" s="585"/>
      <c r="F77" s="585"/>
      <c r="G77" s="585"/>
      <c r="H77" s="214" t="s">
        <v>178</v>
      </c>
      <c r="I77" s="215">
        <v>12</v>
      </c>
      <c r="J77" s="503"/>
      <c r="K77" s="216">
        <f t="shared" si="16"/>
        <v>0</v>
      </c>
      <c r="HV77" s="214" t="s">
        <v>883</v>
      </c>
      <c r="HW77" s="214" t="s">
        <v>770</v>
      </c>
      <c r="IR77" s="217">
        <f>J77*0.278211009174312</f>
        <v>0</v>
      </c>
      <c r="IS77" s="217">
        <f>J77*(1-0.278211009174312)</f>
        <v>0</v>
      </c>
    </row>
    <row r="78" spans="1:253" ht="15" customHeight="1" x14ac:dyDescent="0.3">
      <c r="A78" s="213">
        <v>71</v>
      </c>
      <c r="B78" s="214" t="s">
        <v>907</v>
      </c>
      <c r="C78" s="585" t="s">
        <v>908</v>
      </c>
      <c r="D78" s="585"/>
      <c r="E78" s="585"/>
      <c r="F78" s="585"/>
      <c r="G78" s="585"/>
      <c r="H78" s="214" t="s">
        <v>178</v>
      </c>
      <c r="I78" s="215">
        <v>57</v>
      </c>
      <c r="J78" s="503"/>
      <c r="K78" s="216">
        <f t="shared" si="16"/>
        <v>0</v>
      </c>
      <c r="HV78" s="214" t="s">
        <v>883</v>
      </c>
      <c r="HW78" s="214" t="s">
        <v>770</v>
      </c>
      <c r="IR78" s="217">
        <f>J78*0.443805309734513</f>
        <v>0</v>
      </c>
      <c r="IS78" s="217">
        <f>J78*(1-0.443805309734513)</f>
        <v>0</v>
      </c>
    </row>
    <row r="79" spans="1:253" ht="15" customHeight="1" x14ac:dyDescent="0.3">
      <c r="A79" s="213">
        <v>72</v>
      </c>
      <c r="B79" s="214" t="s">
        <v>909</v>
      </c>
      <c r="C79" s="585" t="s">
        <v>910</v>
      </c>
      <c r="D79" s="585"/>
      <c r="E79" s="585"/>
      <c r="F79" s="585"/>
      <c r="G79" s="585"/>
      <c r="H79" s="214" t="s">
        <v>178</v>
      </c>
      <c r="I79" s="215">
        <v>7</v>
      </c>
      <c r="J79" s="503"/>
      <c r="K79" s="216">
        <f t="shared" si="16"/>
        <v>0</v>
      </c>
      <c r="HV79" s="214" t="s">
        <v>883</v>
      </c>
      <c r="HW79" s="214" t="s">
        <v>770</v>
      </c>
      <c r="IR79" s="217">
        <f>J79*0.451031746031746</f>
        <v>0</v>
      </c>
      <c r="IS79" s="217">
        <f>J79*(1-0.451031746031746)</f>
        <v>0</v>
      </c>
    </row>
    <row r="80" spans="1:253" ht="15" customHeight="1" x14ac:dyDescent="0.3">
      <c r="A80" s="213">
        <v>73</v>
      </c>
      <c r="B80" s="214" t="s">
        <v>911</v>
      </c>
      <c r="C80" s="585" t="s">
        <v>912</v>
      </c>
      <c r="D80" s="585"/>
      <c r="E80" s="585"/>
      <c r="F80" s="585"/>
      <c r="G80" s="585"/>
      <c r="H80" s="214" t="s">
        <v>178</v>
      </c>
      <c r="I80" s="215">
        <v>3</v>
      </c>
      <c r="J80" s="503"/>
      <c r="K80" s="216">
        <f t="shared" si="16"/>
        <v>0</v>
      </c>
      <c r="HV80" s="214" t="s">
        <v>883</v>
      </c>
      <c r="HW80" s="214" t="s">
        <v>770</v>
      </c>
      <c r="IR80" s="217">
        <f>J80*0.453714285714286</f>
        <v>0</v>
      </c>
      <c r="IS80" s="217">
        <f>J80*(1-0.453714285714286)</f>
        <v>0</v>
      </c>
    </row>
    <row r="81" spans="1:253" ht="15" customHeight="1" x14ac:dyDescent="0.3">
      <c r="A81" s="213">
        <v>74</v>
      </c>
      <c r="B81" s="214" t="s">
        <v>913</v>
      </c>
      <c r="C81" s="585" t="s">
        <v>914</v>
      </c>
      <c r="D81" s="585"/>
      <c r="E81" s="585"/>
      <c r="F81" s="585"/>
      <c r="G81" s="585"/>
      <c r="H81" s="214" t="s">
        <v>158</v>
      </c>
      <c r="I81" s="215">
        <v>27</v>
      </c>
      <c r="J81" s="503"/>
      <c r="K81" s="216">
        <f t="shared" si="16"/>
        <v>0</v>
      </c>
      <c r="HV81" s="214" t="s">
        <v>883</v>
      </c>
      <c r="HW81" s="214" t="s">
        <v>770</v>
      </c>
      <c r="IR81" s="217">
        <f t="shared" ref="IR81:IR83" si="17">J81*0</f>
        <v>0</v>
      </c>
      <c r="IS81" s="217">
        <f t="shared" ref="IS81:IS83" si="18">J81*(1-0)</f>
        <v>0</v>
      </c>
    </row>
    <row r="82" spans="1:253" ht="15" customHeight="1" x14ac:dyDescent="0.3">
      <c r="A82" s="213">
        <v>75</v>
      </c>
      <c r="B82" s="214" t="s">
        <v>915</v>
      </c>
      <c r="C82" s="585" t="s">
        <v>916</v>
      </c>
      <c r="D82" s="585"/>
      <c r="E82" s="585"/>
      <c r="F82" s="585"/>
      <c r="G82" s="585"/>
      <c r="H82" s="214" t="s">
        <v>158</v>
      </c>
      <c r="I82" s="215">
        <v>4</v>
      </c>
      <c r="J82" s="503"/>
      <c r="K82" s="216">
        <f t="shared" si="16"/>
        <v>0</v>
      </c>
      <c r="HV82" s="214" t="s">
        <v>883</v>
      </c>
      <c r="HW82" s="214" t="s">
        <v>770</v>
      </c>
      <c r="IR82" s="217">
        <f t="shared" si="17"/>
        <v>0</v>
      </c>
      <c r="IS82" s="217">
        <f t="shared" si="18"/>
        <v>0</v>
      </c>
    </row>
    <row r="83" spans="1:253" ht="15" customHeight="1" x14ac:dyDescent="0.3">
      <c r="A83" s="213">
        <v>76</v>
      </c>
      <c r="B83" s="214" t="s">
        <v>917</v>
      </c>
      <c r="C83" s="585" t="s">
        <v>918</v>
      </c>
      <c r="D83" s="585"/>
      <c r="E83" s="585"/>
      <c r="F83" s="585"/>
      <c r="G83" s="585"/>
      <c r="H83" s="214" t="s">
        <v>158</v>
      </c>
      <c r="I83" s="215">
        <v>2</v>
      </c>
      <c r="J83" s="503"/>
      <c r="K83" s="216">
        <f t="shared" si="16"/>
        <v>0</v>
      </c>
      <c r="HV83" s="214" t="s">
        <v>883</v>
      </c>
      <c r="HW83" s="214" t="s">
        <v>770</v>
      </c>
      <c r="IR83" s="217">
        <f t="shared" si="17"/>
        <v>0</v>
      </c>
      <c r="IS83" s="217">
        <f t="shared" si="18"/>
        <v>0</v>
      </c>
    </row>
    <row r="84" spans="1:253" ht="15" customHeight="1" x14ac:dyDescent="0.3">
      <c r="A84" s="213">
        <v>77</v>
      </c>
      <c r="B84" s="214" t="s">
        <v>919</v>
      </c>
      <c r="C84" s="585" t="s">
        <v>920</v>
      </c>
      <c r="D84" s="585"/>
      <c r="E84" s="585"/>
      <c r="F84" s="585"/>
      <c r="G84" s="585"/>
      <c r="H84" s="214" t="s">
        <v>158</v>
      </c>
      <c r="I84" s="215">
        <v>6</v>
      </c>
      <c r="J84" s="503"/>
      <c r="K84" s="216">
        <f t="shared" si="16"/>
        <v>0</v>
      </c>
      <c r="HV84" s="214" t="s">
        <v>883</v>
      </c>
      <c r="HW84" s="214" t="s">
        <v>770</v>
      </c>
      <c r="IR84" s="217">
        <f>J84*0.497354709418838</f>
        <v>0</v>
      </c>
      <c r="IS84" s="217">
        <f>J84*(1-0.497354709418838)</f>
        <v>0</v>
      </c>
    </row>
    <row r="85" spans="1:253" ht="15" customHeight="1" x14ac:dyDescent="0.3">
      <c r="A85" s="213">
        <v>78</v>
      </c>
      <c r="B85" s="214" t="s">
        <v>921</v>
      </c>
      <c r="C85" s="585" t="s">
        <v>922</v>
      </c>
      <c r="D85" s="585"/>
      <c r="E85" s="585"/>
      <c r="F85" s="585"/>
      <c r="G85" s="585"/>
      <c r="H85" s="214" t="s">
        <v>158</v>
      </c>
      <c r="I85" s="215">
        <v>3</v>
      </c>
      <c r="J85" s="503"/>
      <c r="K85" s="216">
        <f t="shared" si="16"/>
        <v>0</v>
      </c>
      <c r="HV85" s="214" t="s">
        <v>883</v>
      </c>
      <c r="HW85" s="214" t="s">
        <v>770</v>
      </c>
      <c r="IR85" s="217">
        <f>J85*0.497868561278863</f>
        <v>0</v>
      </c>
      <c r="IS85" s="217">
        <f>J85*(1-0.497868561278863)</f>
        <v>0</v>
      </c>
    </row>
    <row r="86" spans="1:253" ht="15" customHeight="1" x14ac:dyDescent="0.3">
      <c r="A86" s="213">
        <v>79</v>
      </c>
      <c r="B86" s="214" t="s">
        <v>923</v>
      </c>
      <c r="C86" s="585" t="s">
        <v>924</v>
      </c>
      <c r="D86" s="585"/>
      <c r="E86" s="585"/>
      <c r="F86" s="585"/>
      <c r="G86" s="585"/>
      <c r="H86" s="214" t="s">
        <v>925</v>
      </c>
      <c r="I86" s="215">
        <v>8</v>
      </c>
      <c r="J86" s="503"/>
      <c r="K86" s="216">
        <f t="shared" si="16"/>
        <v>0</v>
      </c>
      <c r="HV86" s="214" t="s">
        <v>883</v>
      </c>
      <c r="HW86" s="214" t="s">
        <v>770</v>
      </c>
      <c r="IR86" s="217">
        <f>J86*0.504940259636985</f>
        <v>0</v>
      </c>
      <c r="IS86" s="217">
        <f>J86*(1-0.504940259636985)</f>
        <v>0</v>
      </c>
    </row>
    <row r="87" spans="1:253" ht="15" customHeight="1" x14ac:dyDescent="0.3">
      <c r="A87" s="213">
        <v>80</v>
      </c>
      <c r="B87" s="214" t="s">
        <v>926</v>
      </c>
      <c r="C87" s="585" t="s">
        <v>927</v>
      </c>
      <c r="D87" s="585"/>
      <c r="E87" s="585"/>
      <c r="F87" s="585"/>
      <c r="G87" s="585"/>
      <c r="H87" s="214" t="s">
        <v>158</v>
      </c>
      <c r="I87" s="215">
        <v>5</v>
      </c>
      <c r="J87" s="503"/>
      <c r="K87" s="216">
        <f t="shared" si="16"/>
        <v>0</v>
      </c>
      <c r="HV87" s="214" t="s">
        <v>883</v>
      </c>
      <c r="HW87" s="214" t="s">
        <v>770</v>
      </c>
      <c r="IR87" s="217">
        <f>J87*0.338655678599021</f>
        <v>0</v>
      </c>
      <c r="IS87" s="217">
        <f>J87*(1-0.338655678599021)</f>
        <v>0</v>
      </c>
    </row>
    <row r="88" spans="1:253" ht="15" customHeight="1" x14ac:dyDescent="0.3">
      <c r="A88" s="213">
        <v>81</v>
      </c>
      <c r="B88" s="214" t="s">
        <v>928</v>
      </c>
      <c r="C88" s="585" t="s">
        <v>929</v>
      </c>
      <c r="D88" s="585"/>
      <c r="E88" s="585"/>
      <c r="F88" s="585"/>
      <c r="G88" s="585"/>
      <c r="H88" s="214" t="s">
        <v>158</v>
      </c>
      <c r="I88" s="215">
        <v>4</v>
      </c>
      <c r="J88" s="503"/>
      <c r="K88" s="216">
        <f t="shared" si="16"/>
        <v>0</v>
      </c>
      <c r="HV88" s="214" t="s">
        <v>883</v>
      </c>
      <c r="HW88" s="214" t="s">
        <v>770</v>
      </c>
      <c r="IR88" s="217">
        <f>J88*0.711611842105263</f>
        <v>0</v>
      </c>
      <c r="IS88" s="217">
        <f>J88*(1-0.711611842105263)</f>
        <v>0</v>
      </c>
    </row>
    <row r="89" spans="1:253" ht="15" customHeight="1" x14ac:dyDescent="0.3">
      <c r="A89" s="213">
        <v>82</v>
      </c>
      <c r="B89" s="214" t="s">
        <v>930</v>
      </c>
      <c r="C89" s="585" t="s">
        <v>931</v>
      </c>
      <c r="D89" s="585"/>
      <c r="E89" s="585"/>
      <c r="F89" s="585"/>
      <c r="G89" s="585"/>
      <c r="H89" s="214" t="s">
        <v>158</v>
      </c>
      <c r="I89" s="215">
        <v>1</v>
      </c>
      <c r="J89" s="503"/>
      <c r="K89" s="216">
        <f t="shared" si="16"/>
        <v>0</v>
      </c>
      <c r="HV89" s="214" t="s">
        <v>883</v>
      </c>
      <c r="HW89" s="214" t="s">
        <v>770</v>
      </c>
      <c r="IR89" s="217">
        <f>J89*0.75285393258427</f>
        <v>0</v>
      </c>
      <c r="IS89" s="217">
        <f>J89*(1-0.75285393258427)</f>
        <v>0</v>
      </c>
    </row>
    <row r="90" spans="1:253" ht="15" customHeight="1" x14ac:dyDescent="0.3">
      <c r="A90" s="213">
        <v>83</v>
      </c>
      <c r="B90" s="214" t="s">
        <v>932</v>
      </c>
      <c r="C90" s="585" t="s">
        <v>933</v>
      </c>
      <c r="D90" s="585"/>
      <c r="E90" s="585"/>
      <c r="F90" s="585"/>
      <c r="G90" s="585"/>
      <c r="H90" s="214" t="s">
        <v>158</v>
      </c>
      <c r="I90" s="215">
        <v>1</v>
      </c>
      <c r="J90" s="503"/>
      <c r="K90" s="216">
        <f t="shared" si="16"/>
        <v>0</v>
      </c>
      <c r="HV90" s="214" t="s">
        <v>883</v>
      </c>
      <c r="HW90" s="214" t="s">
        <v>770</v>
      </c>
      <c r="IR90" s="217">
        <f>J90*0.838872604284104</f>
        <v>0</v>
      </c>
      <c r="IS90" s="217">
        <f>J90*(1-0.838872604284104)</f>
        <v>0</v>
      </c>
    </row>
    <row r="91" spans="1:253" ht="15" customHeight="1" x14ac:dyDescent="0.3">
      <c r="A91" s="213">
        <v>84</v>
      </c>
      <c r="B91" s="214" t="s">
        <v>934</v>
      </c>
      <c r="C91" s="585" t="s">
        <v>935</v>
      </c>
      <c r="D91" s="585"/>
      <c r="E91" s="585"/>
      <c r="F91" s="585"/>
      <c r="G91" s="585"/>
      <c r="H91" s="214" t="s">
        <v>158</v>
      </c>
      <c r="I91" s="215">
        <v>1</v>
      </c>
      <c r="J91" s="503"/>
      <c r="K91" s="216">
        <f t="shared" si="16"/>
        <v>0</v>
      </c>
      <c r="HV91" s="214" t="s">
        <v>883</v>
      </c>
      <c r="HW91" s="214" t="s">
        <v>770</v>
      </c>
      <c r="IR91" s="217">
        <f>J91*0.814222972972973</f>
        <v>0</v>
      </c>
      <c r="IS91" s="217">
        <f>J91*(1-0.814222972972973)</f>
        <v>0</v>
      </c>
    </row>
    <row r="92" spans="1:253" ht="15" customHeight="1" x14ac:dyDescent="0.3">
      <c r="A92" s="213">
        <v>85</v>
      </c>
      <c r="B92" s="214" t="s">
        <v>936</v>
      </c>
      <c r="C92" s="585" t="s">
        <v>937</v>
      </c>
      <c r="D92" s="585"/>
      <c r="E92" s="585"/>
      <c r="F92" s="585"/>
      <c r="G92" s="585"/>
      <c r="H92" s="214" t="s">
        <v>158</v>
      </c>
      <c r="I92" s="215">
        <v>1</v>
      </c>
      <c r="J92" s="503"/>
      <c r="K92" s="216">
        <f t="shared" si="16"/>
        <v>0</v>
      </c>
      <c r="HV92" s="214" t="s">
        <v>883</v>
      </c>
      <c r="HW92" s="214" t="s">
        <v>770</v>
      </c>
      <c r="IR92" s="217">
        <f>J92*0.868880733944954</f>
        <v>0</v>
      </c>
      <c r="IS92" s="217">
        <f>J92*(1-0.868880733944954)</f>
        <v>0</v>
      </c>
    </row>
    <row r="93" spans="1:253" ht="15" customHeight="1" x14ac:dyDescent="0.3">
      <c r="A93" s="213">
        <v>86</v>
      </c>
      <c r="B93" s="214" t="s">
        <v>938</v>
      </c>
      <c r="C93" s="585" t="s">
        <v>939</v>
      </c>
      <c r="D93" s="585"/>
      <c r="E93" s="585"/>
      <c r="F93" s="585"/>
      <c r="G93" s="585"/>
      <c r="H93" s="214" t="s">
        <v>158</v>
      </c>
      <c r="I93" s="215">
        <v>5</v>
      </c>
      <c r="J93" s="503"/>
      <c r="K93" s="216">
        <f t="shared" si="16"/>
        <v>0</v>
      </c>
      <c r="HV93" s="214" t="s">
        <v>883</v>
      </c>
      <c r="HW93" s="214" t="s">
        <v>770</v>
      </c>
      <c r="IR93" s="217">
        <f>J93*0.0427947598253275</f>
        <v>0</v>
      </c>
      <c r="IS93" s="217">
        <f>J93*(1-0.0427947598253275)</f>
        <v>0</v>
      </c>
    </row>
    <row r="94" spans="1:253" ht="15" customHeight="1" x14ac:dyDescent="0.3">
      <c r="A94" s="213">
        <v>87</v>
      </c>
      <c r="B94" s="214" t="s">
        <v>940</v>
      </c>
      <c r="C94" s="585" t="s">
        <v>941</v>
      </c>
      <c r="D94" s="585"/>
      <c r="E94" s="585"/>
      <c r="F94" s="585"/>
      <c r="G94" s="585"/>
      <c r="H94" s="214" t="s">
        <v>158</v>
      </c>
      <c r="I94" s="215">
        <v>4</v>
      </c>
      <c r="J94" s="503"/>
      <c r="K94" s="216">
        <f t="shared" si="16"/>
        <v>0</v>
      </c>
      <c r="HV94" s="214" t="s">
        <v>883</v>
      </c>
      <c r="HW94" s="214" t="s">
        <v>770</v>
      </c>
      <c r="IR94" s="217">
        <f>J94*0.0451948051948052</f>
        <v>0</v>
      </c>
      <c r="IS94" s="217">
        <f>J94*(1-0.0451948051948052)</f>
        <v>0</v>
      </c>
    </row>
    <row r="95" spans="1:253" ht="15" customHeight="1" x14ac:dyDescent="0.3">
      <c r="A95" s="213">
        <v>88</v>
      </c>
      <c r="B95" s="214" t="s">
        <v>942</v>
      </c>
      <c r="C95" s="585" t="s">
        <v>943</v>
      </c>
      <c r="D95" s="585"/>
      <c r="E95" s="585"/>
      <c r="F95" s="585"/>
      <c r="G95" s="585"/>
      <c r="H95" s="214" t="s">
        <v>158</v>
      </c>
      <c r="I95" s="215">
        <v>2</v>
      </c>
      <c r="J95" s="503"/>
      <c r="K95" s="216">
        <f t="shared" si="16"/>
        <v>0</v>
      </c>
      <c r="HV95" s="214" t="s">
        <v>883</v>
      </c>
      <c r="HW95" s="214" t="s">
        <v>770</v>
      </c>
      <c r="IR95" s="217">
        <f>J95*0.0680130293159609</f>
        <v>0</v>
      </c>
      <c r="IS95" s="217">
        <f>J95*(1-0.0680130293159609)</f>
        <v>0</v>
      </c>
    </row>
    <row r="96" spans="1:253" ht="15" customHeight="1" x14ac:dyDescent="0.3">
      <c r="A96" s="213">
        <v>89</v>
      </c>
      <c r="B96" s="214" t="s">
        <v>944</v>
      </c>
      <c r="C96" s="585" t="s">
        <v>945</v>
      </c>
      <c r="D96" s="585"/>
      <c r="E96" s="585"/>
      <c r="F96" s="585"/>
      <c r="G96" s="585"/>
      <c r="H96" s="214" t="s">
        <v>158</v>
      </c>
      <c r="I96" s="215">
        <v>1</v>
      </c>
      <c r="J96" s="503"/>
      <c r="K96" s="216">
        <f t="shared" si="16"/>
        <v>0</v>
      </c>
      <c r="HV96" s="214" t="s">
        <v>883</v>
      </c>
      <c r="HW96" s="214" t="s">
        <v>770</v>
      </c>
      <c r="IR96" s="217">
        <f>J96*0.852013422818792</f>
        <v>0</v>
      </c>
      <c r="IS96" s="217">
        <f>J96*(1-0.852013422818792)</f>
        <v>0</v>
      </c>
    </row>
    <row r="97" spans="1:253" ht="15" customHeight="1" x14ac:dyDescent="0.3">
      <c r="A97" s="213">
        <v>90</v>
      </c>
      <c r="B97" s="214" t="s">
        <v>946</v>
      </c>
      <c r="C97" s="585" t="s">
        <v>947</v>
      </c>
      <c r="D97" s="585"/>
      <c r="E97" s="585"/>
      <c r="F97" s="585"/>
      <c r="G97" s="585"/>
      <c r="H97" s="214" t="s">
        <v>158</v>
      </c>
      <c r="I97" s="215">
        <v>1</v>
      </c>
      <c r="J97" s="503"/>
      <c r="K97" s="216">
        <f t="shared" si="16"/>
        <v>0</v>
      </c>
      <c r="HV97" s="214" t="s">
        <v>883</v>
      </c>
      <c r="HW97" s="214" t="s">
        <v>770</v>
      </c>
      <c r="IR97" s="217">
        <f>J97*0.890336134453782</f>
        <v>0</v>
      </c>
      <c r="IS97" s="217">
        <f>J97*(1-0.890336134453782)</f>
        <v>0</v>
      </c>
    </row>
    <row r="98" spans="1:253" ht="15" customHeight="1" x14ac:dyDescent="0.3">
      <c r="A98" s="213">
        <v>91</v>
      </c>
      <c r="B98" s="214" t="s">
        <v>948</v>
      </c>
      <c r="C98" s="585" t="s">
        <v>949</v>
      </c>
      <c r="D98" s="585"/>
      <c r="E98" s="585"/>
      <c r="F98" s="585"/>
      <c r="G98" s="585"/>
      <c r="H98" s="214" t="s">
        <v>158</v>
      </c>
      <c r="I98" s="215">
        <v>1</v>
      </c>
      <c r="J98" s="503"/>
      <c r="K98" s="216">
        <f t="shared" si="16"/>
        <v>0</v>
      </c>
      <c r="HV98" s="214" t="s">
        <v>883</v>
      </c>
      <c r="HW98" s="214" t="s">
        <v>770</v>
      </c>
      <c r="IR98" s="217">
        <f>J98*0.539581036383682</f>
        <v>0</v>
      </c>
      <c r="IS98" s="217">
        <f>J98*(1-0.539581036383682)</f>
        <v>0</v>
      </c>
    </row>
    <row r="99" spans="1:253" ht="15" customHeight="1" x14ac:dyDescent="0.3">
      <c r="A99" s="213">
        <v>92</v>
      </c>
      <c r="B99" s="214" t="s">
        <v>950</v>
      </c>
      <c r="C99" s="585" t="s">
        <v>951</v>
      </c>
      <c r="D99" s="585"/>
      <c r="E99" s="585"/>
      <c r="F99" s="585"/>
      <c r="G99" s="585"/>
      <c r="H99" s="214" t="s">
        <v>178</v>
      </c>
      <c r="I99" s="215">
        <v>103</v>
      </c>
      <c r="J99" s="503"/>
      <c r="K99" s="216">
        <f t="shared" si="16"/>
        <v>0</v>
      </c>
      <c r="HV99" s="214" t="s">
        <v>883</v>
      </c>
      <c r="HW99" s="214" t="s">
        <v>770</v>
      </c>
      <c r="IR99" s="217">
        <f>J99*0.0146496815286624</f>
        <v>0</v>
      </c>
      <c r="IS99" s="217">
        <f>J99*(1-0.0146496815286624)</f>
        <v>0</v>
      </c>
    </row>
    <row r="100" spans="1:253" ht="15" customHeight="1" x14ac:dyDescent="0.3">
      <c r="A100" s="213">
        <v>93</v>
      </c>
      <c r="B100" s="214" t="s">
        <v>952</v>
      </c>
      <c r="C100" s="585" t="s">
        <v>953</v>
      </c>
      <c r="D100" s="585"/>
      <c r="E100" s="585"/>
      <c r="F100" s="585"/>
      <c r="G100" s="585"/>
      <c r="H100" s="214" t="s">
        <v>158</v>
      </c>
      <c r="I100" s="215">
        <v>4</v>
      </c>
      <c r="J100" s="503"/>
      <c r="K100" s="216">
        <f t="shared" si="16"/>
        <v>0</v>
      </c>
      <c r="HV100" s="214" t="s">
        <v>883</v>
      </c>
      <c r="HW100" s="214" t="s">
        <v>770</v>
      </c>
      <c r="IR100" s="217">
        <f>J100*1</f>
        <v>0</v>
      </c>
      <c r="IS100" s="217">
        <f>J100*(1-1)</f>
        <v>0</v>
      </c>
    </row>
    <row r="101" spans="1:253" ht="15" customHeight="1" x14ac:dyDescent="0.3">
      <c r="A101" s="213">
        <v>94</v>
      </c>
      <c r="B101" s="214" t="s">
        <v>954</v>
      </c>
      <c r="C101" s="585" t="s">
        <v>955</v>
      </c>
      <c r="D101" s="585"/>
      <c r="E101" s="585"/>
      <c r="F101" s="585"/>
      <c r="G101" s="585"/>
      <c r="H101" s="214" t="s">
        <v>178</v>
      </c>
      <c r="I101" s="215">
        <v>103</v>
      </c>
      <c r="J101" s="503"/>
      <c r="K101" s="216">
        <f t="shared" si="16"/>
        <v>0</v>
      </c>
      <c r="HV101" s="214" t="s">
        <v>883</v>
      </c>
      <c r="HW101" s="214" t="s">
        <v>770</v>
      </c>
      <c r="IR101" s="217">
        <f>J101*0.0535816618911175</f>
        <v>0</v>
      </c>
      <c r="IS101" s="217">
        <f>J101*(1-0.0535816618911175)</f>
        <v>0</v>
      </c>
    </row>
    <row r="102" spans="1:253" ht="15" customHeight="1" x14ac:dyDescent="0.3">
      <c r="A102" s="213">
        <v>95</v>
      </c>
      <c r="B102" s="214" t="s">
        <v>956</v>
      </c>
      <c r="C102" s="585" t="s">
        <v>957</v>
      </c>
      <c r="D102" s="585"/>
      <c r="E102" s="585"/>
      <c r="F102" s="585"/>
      <c r="G102" s="585"/>
      <c r="H102" s="214" t="s">
        <v>819</v>
      </c>
      <c r="I102" s="215">
        <v>1</v>
      </c>
      <c r="J102" s="503"/>
      <c r="K102" s="216">
        <f t="shared" si="16"/>
        <v>0</v>
      </c>
      <c r="HV102" s="214" t="s">
        <v>883</v>
      </c>
      <c r="HW102" s="214" t="s">
        <v>770</v>
      </c>
      <c r="IR102" s="217">
        <f>J102*0.54158844765343</f>
        <v>0</v>
      </c>
      <c r="IS102" s="217">
        <f>J102*(1-0.54158844765343)</f>
        <v>0</v>
      </c>
    </row>
    <row r="103" spans="1:253" ht="15" customHeight="1" x14ac:dyDescent="0.3">
      <c r="A103" s="213">
        <v>96</v>
      </c>
      <c r="B103" s="214" t="s">
        <v>958</v>
      </c>
      <c r="C103" s="585" t="s">
        <v>959</v>
      </c>
      <c r="D103" s="585"/>
      <c r="E103" s="585"/>
      <c r="F103" s="585"/>
      <c r="G103" s="585"/>
      <c r="H103" s="214" t="s">
        <v>158</v>
      </c>
      <c r="I103" s="215">
        <v>1</v>
      </c>
      <c r="J103" s="503"/>
      <c r="K103" s="216">
        <f t="shared" si="16"/>
        <v>0</v>
      </c>
      <c r="HV103" s="214" t="s">
        <v>883</v>
      </c>
      <c r="HW103" s="214" t="s">
        <v>770</v>
      </c>
      <c r="IR103" s="217">
        <f t="shared" ref="IR103:IR105" si="19">J103*1</f>
        <v>0</v>
      </c>
      <c r="IS103" s="217">
        <f t="shared" ref="IS103:IS105" si="20">J103*(1-1)</f>
        <v>0</v>
      </c>
    </row>
    <row r="104" spans="1:253" ht="15" customHeight="1" x14ac:dyDescent="0.3">
      <c r="A104" s="213">
        <v>97</v>
      </c>
      <c r="B104" s="214" t="s">
        <v>960</v>
      </c>
      <c r="C104" s="585" t="s">
        <v>961</v>
      </c>
      <c r="D104" s="585"/>
      <c r="E104" s="585"/>
      <c r="F104" s="585"/>
      <c r="G104" s="585"/>
      <c r="H104" s="214" t="s">
        <v>158</v>
      </c>
      <c r="I104" s="215">
        <v>1</v>
      </c>
      <c r="J104" s="503"/>
      <c r="K104" s="216">
        <f t="shared" si="16"/>
        <v>0</v>
      </c>
      <c r="HV104" s="214" t="s">
        <v>883</v>
      </c>
      <c r="HW104" s="214" t="s">
        <v>770</v>
      </c>
      <c r="IR104" s="217">
        <f t="shared" si="19"/>
        <v>0</v>
      </c>
      <c r="IS104" s="217">
        <f t="shared" si="20"/>
        <v>0</v>
      </c>
    </row>
    <row r="105" spans="1:253" ht="15" customHeight="1" x14ac:dyDescent="0.3">
      <c r="A105" s="213">
        <v>98</v>
      </c>
      <c r="B105" s="214" t="s">
        <v>962</v>
      </c>
      <c r="C105" s="585" t="s">
        <v>963</v>
      </c>
      <c r="D105" s="585"/>
      <c r="E105" s="585"/>
      <c r="F105" s="585"/>
      <c r="G105" s="585"/>
      <c r="H105" s="214" t="s">
        <v>158</v>
      </c>
      <c r="I105" s="215">
        <v>1</v>
      </c>
      <c r="J105" s="503"/>
      <c r="K105" s="216">
        <f t="shared" si="16"/>
        <v>0</v>
      </c>
      <c r="HV105" s="214" t="s">
        <v>883</v>
      </c>
      <c r="HW105" s="214" t="s">
        <v>770</v>
      </c>
      <c r="IR105" s="217">
        <f t="shared" si="19"/>
        <v>0</v>
      </c>
      <c r="IS105" s="217">
        <f t="shared" si="20"/>
        <v>0</v>
      </c>
    </row>
    <row r="106" spans="1:253" ht="15" customHeight="1" x14ac:dyDescent="0.3">
      <c r="A106" s="213">
        <v>99</v>
      </c>
      <c r="B106" s="214" t="s">
        <v>964</v>
      </c>
      <c r="C106" s="585" t="s">
        <v>965</v>
      </c>
      <c r="D106" s="585"/>
      <c r="E106" s="585"/>
      <c r="F106" s="585"/>
      <c r="G106" s="585"/>
      <c r="H106" s="214" t="s">
        <v>158</v>
      </c>
      <c r="I106" s="215">
        <v>1</v>
      </c>
      <c r="J106" s="503"/>
      <c r="K106" s="216">
        <f t="shared" si="16"/>
        <v>0</v>
      </c>
      <c r="HV106" s="214" t="s">
        <v>883</v>
      </c>
      <c r="HW106" s="214" t="s">
        <v>770</v>
      </c>
      <c r="IR106" s="217">
        <f>J106*0.870294117647059</f>
        <v>0</v>
      </c>
      <c r="IS106" s="217">
        <f>J106*(1-0.870294117647059)</f>
        <v>0</v>
      </c>
    </row>
    <row r="107" spans="1:253" ht="15" customHeight="1" x14ac:dyDescent="0.3">
      <c r="A107" s="213">
        <v>100</v>
      </c>
      <c r="B107" s="214" t="s">
        <v>966</v>
      </c>
      <c r="C107" s="585" t="s">
        <v>967</v>
      </c>
      <c r="D107" s="585"/>
      <c r="E107" s="585"/>
      <c r="F107" s="585"/>
      <c r="G107" s="585"/>
      <c r="H107" s="214" t="s">
        <v>158</v>
      </c>
      <c r="I107" s="215">
        <v>1</v>
      </c>
      <c r="J107" s="503"/>
      <c r="K107" s="216">
        <f t="shared" si="16"/>
        <v>0</v>
      </c>
      <c r="HV107" s="214" t="s">
        <v>883</v>
      </c>
      <c r="HW107" s="214" t="s">
        <v>770</v>
      </c>
      <c r="IR107" s="217">
        <f>J107*0.681825503355705</f>
        <v>0</v>
      </c>
      <c r="IS107" s="217">
        <f>J107*(1-0.681825503355705)</f>
        <v>0</v>
      </c>
    </row>
    <row r="108" spans="1:253" ht="15" customHeight="1" x14ac:dyDescent="0.3">
      <c r="A108" s="213">
        <v>101</v>
      </c>
      <c r="B108" s="214" t="s">
        <v>968</v>
      </c>
      <c r="C108" s="585" t="s">
        <v>969</v>
      </c>
      <c r="D108" s="585"/>
      <c r="E108" s="585"/>
      <c r="F108" s="585"/>
      <c r="G108" s="585"/>
      <c r="H108" s="214" t="s">
        <v>158</v>
      </c>
      <c r="I108" s="215">
        <v>1</v>
      </c>
      <c r="J108" s="503"/>
      <c r="K108" s="216">
        <f t="shared" si="16"/>
        <v>0</v>
      </c>
      <c r="HV108" s="214" t="s">
        <v>883</v>
      </c>
      <c r="HW108" s="214" t="s">
        <v>770</v>
      </c>
      <c r="IR108" s="217">
        <f t="shared" ref="IR108:IR109" si="21">J108*1</f>
        <v>0</v>
      </c>
      <c r="IS108" s="217">
        <f t="shared" ref="IS108:IS109" si="22">J108*(1-1)</f>
        <v>0</v>
      </c>
    </row>
    <row r="109" spans="1:253" ht="15" customHeight="1" x14ac:dyDescent="0.3">
      <c r="A109" s="213">
        <v>102</v>
      </c>
      <c r="B109" s="214" t="s">
        <v>970</v>
      </c>
      <c r="C109" s="585" t="s">
        <v>971</v>
      </c>
      <c r="D109" s="585"/>
      <c r="E109" s="585"/>
      <c r="F109" s="585"/>
      <c r="G109" s="585"/>
      <c r="H109" s="214" t="s">
        <v>158</v>
      </c>
      <c r="I109" s="215">
        <v>1</v>
      </c>
      <c r="J109" s="503"/>
      <c r="K109" s="216">
        <f t="shared" si="16"/>
        <v>0</v>
      </c>
      <c r="HV109" s="214" t="s">
        <v>883</v>
      </c>
      <c r="HW109" s="214" t="s">
        <v>770</v>
      </c>
      <c r="IR109" s="217">
        <f t="shared" si="21"/>
        <v>0</v>
      </c>
      <c r="IS109" s="217">
        <f t="shared" si="22"/>
        <v>0</v>
      </c>
    </row>
    <row r="110" spans="1:253" ht="15" customHeight="1" x14ac:dyDescent="0.3">
      <c r="A110" s="213">
        <v>103</v>
      </c>
      <c r="B110" s="214" t="s">
        <v>972</v>
      </c>
      <c r="C110" s="585" t="s">
        <v>973</v>
      </c>
      <c r="D110" s="585"/>
      <c r="E110" s="585"/>
      <c r="F110" s="585"/>
      <c r="G110" s="585"/>
      <c r="H110" s="214" t="s">
        <v>0</v>
      </c>
      <c r="I110" s="503"/>
      <c r="J110" s="503"/>
      <c r="K110" s="216">
        <f t="shared" si="16"/>
        <v>0</v>
      </c>
      <c r="HV110" s="214" t="s">
        <v>883</v>
      </c>
      <c r="HW110" s="214" t="s">
        <v>770</v>
      </c>
      <c r="IR110" s="217">
        <f>J110*0</f>
        <v>0</v>
      </c>
      <c r="IS110" s="217">
        <f>J110*(1-0)</f>
        <v>0</v>
      </c>
    </row>
    <row r="111" spans="1:253" ht="15" customHeight="1" x14ac:dyDescent="0.3">
      <c r="A111" s="209" t="s">
        <v>766</v>
      </c>
      <c r="B111" s="210" t="s">
        <v>974</v>
      </c>
      <c r="C111" s="586" t="s">
        <v>975</v>
      </c>
      <c r="D111" s="586"/>
      <c r="E111" s="586"/>
      <c r="F111" s="586"/>
      <c r="G111" s="586"/>
      <c r="H111" s="210" t="s">
        <v>766</v>
      </c>
      <c r="I111" s="211" t="s">
        <v>766</v>
      </c>
      <c r="J111" s="211" t="s">
        <v>766</v>
      </c>
      <c r="K111" s="212">
        <f>SUM(K112:K177)</f>
        <v>0</v>
      </c>
    </row>
    <row r="112" spans="1:253" ht="15" customHeight="1" x14ac:dyDescent="0.3">
      <c r="A112" s="213">
        <v>104</v>
      </c>
      <c r="B112" s="214" t="s">
        <v>976</v>
      </c>
      <c r="C112" s="585" t="s">
        <v>977</v>
      </c>
      <c r="D112" s="585"/>
      <c r="E112" s="585"/>
      <c r="F112" s="585"/>
      <c r="G112" s="585"/>
      <c r="H112" s="214" t="s">
        <v>819</v>
      </c>
      <c r="I112" s="215">
        <v>4</v>
      </c>
      <c r="J112" s="503"/>
      <c r="K112" s="216">
        <f t="shared" ref="K112:K177" si="23">IR112*I112+IS112*I112</f>
        <v>0</v>
      </c>
      <c r="HV112" s="214" t="s">
        <v>974</v>
      </c>
      <c r="HW112" s="214" t="s">
        <v>770</v>
      </c>
      <c r="IR112" s="217">
        <f>J112*0.235352661698321</f>
        <v>0</v>
      </c>
      <c r="IS112" s="217">
        <f>J112*(1-0.235352661698321)</f>
        <v>0</v>
      </c>
    </row>
    <row r="113" spans="1:253" ht="15" customHeight="1" x14ac:dyDescent="0.3">
      <c r="A113" s="213">
        <v>105</v>
      </c>
      <c r="B113" s="214" t="s">
        <v>978</v>
      </c>
      <c r="C113" s="585" t="s">
        <v>979</v>
      </c>
      <c r="D113" s="585"/>
      <c r="E113" s="585"/>
      <c r="F113" s="585"/>
      <c r="G113" s="585"/>
      <c r="H113" s="214" t="s">
        <v>819</v>
      </c>
      <c r="I113" s="215">
        <v>3</v>
      </c>
      <c r="J113" s="503"/>
      <c r="K113" s="216">
        <f t="shared" si="23"/>
        <v>0</v>
      </c>
      <c r="HV113" s="214" t="s">
        <v>974</v>
      </c>
      <c r="HW113" s="214" t="s">
        <v>770</v>
      </c>
      <c r="IR113" s="217">
        <f t="shared" ref="IR113:IR114" si="24">J113*0</f>
        <v>0</v>
      </c>
      <c r="IS113" s="217">
        <f t="shared" ref="IS113:IS114" si="25">J113*(1-0)</f>
        <v>0</v>
      </c>
    </row>
    <row r="114" spans="1:253" ht="15" customHeight="1" x14ac:dyDescent="0.3">
      <c r="A114" s="213">
        <v>106</v>
      </c>
      <c r="B114" s="214" t="s">
        <v>980</v>
      </c>
      <c r="C114" s="585" t="s">
        <v>981</v>
      </c>
      <c r="D114" s="585"/>
      <c r="E114" s="585"/>
      <c r="F114" s="585"/>
      <c r="G114" s="585"/>
      <c r="H114" s="214" t="s">
        <v>819</v>
      </c>
      <c r="I114" s="215">
        <v>2</v>
      </c>
      <c r="J114" s="503"/>
      <c r="K114" s="216">
        <f t="shared" si="23"/>
        <v>0</v>
      </c>
      <c r="HV114" s="214" t="s">
        <v>974</v>
      </c>
      <c r="HW114" s="214" t="s">
        <v>770</v>
      </c>
      <c r="IR114" s="217">
        <f t="shared" si="24"/>
        <v>0</v>
      </c>
      <c r="IS114" s="217">
        <f t="shared" si="25"/>
        <v>0</v>
      </c>
    </row>
    <row r="115" spans="1:253" ht="15" customHeight="1" x14ac:dyDescent="0.3">
      <c r="A115" s="213">
        <v>107</v>
      </c>
      <c r="B115" s="214" t="s">
        <v>982</v>
      </c>
      <c r="C115" s="585" t="s">
        <v>983</v>
      </c>
      <c r="D115" s="585"/>
      <c r="E115" s="585"/>
      <c r="F115" s="585"/>
      <c r="G115" s="585"/>
      <c r="H115" s="214" t="s">
        <v>158</v>
      </c>
      <c r="I115" s="215">
        <v>4</v>
      </c>
      <c r="J115" s="503"/>
      <c r="K115" s="216">
        <f t="shared" si="23"/>
        <v>0</v>
      </c>
      <c r="HV115" s="214" t="s">
        <v>974</v>
      </c>
      <c r="HW115" s="214" t="s">
        <v>770</v>
      </c>
      <c r="IR115" s="217">
        <f>J115*1</f>
        <v>0</v>
      </c>
      <c r="IS115" s="217">
        <f>J115*(1-1)</f>
        <v>0</v>
      </c>
    </row>
    <row r="116" spans="1:253" ht="15" customHeight="1" x14ac:dyDescent="0.3">
      <c r="A116" s="213">
        <v>108</v>
      </c>
      <c r="B116" s="214" t="s">
        <v>984</v>
      </c>
      <c r="C116" s="585" t="s">
        <v>985</v>
      </c>
      <c r="D116" s="585"/>
      <c r="E116" s="585"/>
      <c r="F116" s="585"/>
      <c r="G116" s="585"/>
      <c r="H116" s="214" t="s">
        <v>819</v>
      </c>
      <c r="I116" s="215">
        <v>3</v>
      </c>
      <c r="J116" s="503"/>
      <c r="K116" s="216">
        <f t="shared" si="23"/>
        <v>0</v>
      </c>
      <c r="HV116" s="214" t="s">
        <v>974</v>
      </c>
      <c r="HW116" s="214" t="s">
        <v>770</v>
      </c>
      <c r="IR116" s="217">
        <f>J116*0.124568306010929</f>
        <v>0</v>
      </c>
      <c r="IS116" s="217">
        <f>J116*(1-0.124568306010929)</f>
        <v>0</v>
      </c>
    </row>
    <row r="117" spans="1:253" ht="15" customHeight="1" x14ac:dyDescent="0.3">
      <c r="A117" s="213">
        <v>109</v>
      </c>
      <c r="B117" s="214" t="s">
        <v>986</v>
      </c>
      <c r="C117" s="585" t="s">
        <v>987</v>
      </c>
      <c r="D117" s="585"/>
      <c r="E117" s="585"/>
      <c r="F117" s="585"/>
      <c r="G117" s="585"/>
      <c r="H117" s="214" t="s">
        <v>158</v>
      </c>
      <c r="I117" s="215">
        <v>1</v>
      </c>
      <c r="J117" s="503"/>
      <c r="K117" s="216">
        <f t="shared" si="23"/>
        <v>0</v>
      </c>
      <c r="HV117" s="214" t="s">
        <v>974</v>
      </c>
      <c r="HW117" s="214" t="s">
        <v>770</v>
      </c>
      <c r="IR117" s="217">
        <f>J117*0.845070671378092</f>
        <v>0</v>
      </c>
      <c r="IS117" s="217">
        <f>J117*(1-0.845070671378092)</f>
        <v>0</v>
      </c>
    </row>
    <row r="118" spans="1:253" ht="15" customHeight="1" x14ac:dyDescent="0.3">
      <c r="A118" s="213">
        <v>110</v>
      </c>
      <c r="B118" s="214" t="s">
        <v>988</v>
      </c>
      <c r="C118" s="585" t="s">
        <v>989</v>
      </c>
      <c r="D118" s="585"/>
      <c r="E118" s="585"/>
      <c r="F118" s="585"/>
      <c r="G118" s="585"/>
      <c r="H118" s="214" t="s">
        <v>819</v>
      </c>
      <c r="I118" s="215">
        <v>1</v>
      </c>
      <c r="J118" s="503"/>
      <c r="K118" s="216">
        <f t="shared" si="23"/>
        <v>0</v>
      </c>
      <c r="HV118" s="214" t="s">
        <v>974</v>
      </c>
      <c r="HW118" s="214" t="s">
        <v>770</v>
      </c>
      <c r="IR118" s="217">
        <f>J118*0.129851485148515</f>
        <v>0</v>
      </c>
      <c r="IS118" s="217">
        <f>J118*(1-0.129851485148515)</f>
        <v>0</v>
      </c>
    </row>
    <row r="119" spans="1:253" ht="15" customHeight="1" x14ac:dyDescent="0.3">
      <c r="A119" s="213">
        <v>111</v>
      </c>
      <c r="B119" s="214" t="s">
        <v>990</v>
      </c>
      <c r="C119" s="585" t="s">
        <v>991</v>
      </c>
      <c r="D119" s="585"/>
      <c r="E119" s="585"/>
      <c r="F119" s="585"/>
      <c r="G119" s="585"/>
      <c r="H119" s="214" t="s">
        <v>819</v>
      </c>
      <c r="I119" s="215">
        <v>1</v>
      </c>
      <c r="J119" s="503"/>
      <c r="K119" s="216">
        <f t="shared" si="23"/>
        <v>0</v>
      </c>
      <c r="HV119" s="214" t="s">
        <v>974</v>
      </c>
      <c r="HW119" s="214" t="s">
        <v>770</v>
      </c>
      <c r="IR119" s="217">
        <f>J119*0.913640853877118</f>
        <v>0</v>
      </c>
      <c r="IS119" s="217">
        <f>J119*(1-0.913640853877118)</f>
        <v>0</v>
      </c>
    </row>
    <row r="120" spans="1:253" ht="15" customHeight="1" x14ac:dyDescent="0.3">
      <c r="A120" s="213">
        <v>112</v>
      </c>
      <c r="B120" s="214" t="s">
        <v>992</v>
      </c>
      <c r="C120" s="585" t="s">
        <v>993</v>
      </c>
      <c r="D120" s="585"/>
      <c r="E120" s="585"/>
      <c r="F120" s="585"/>
      <c r="G120" s="585"/>
      <c r="H120" s="214" t="s">
        <v>819</v>
      </c>
      <c r="I120" s="215">
        <v>8</v>
      </c>
      <c r="J120" s="503"/>
      <c r="K120" s="216">
        <f t="shared" si="23"/>
        <v>0</v>
      </c>
      <c r="HV120" s="214" t="s">
        <v>974</v>
      </c>
      <c r="HW120" s="214" t="s">
        <v>770</v>
      </c>
      <c r="IR120" s="217">
        <f>J120*0.329677419354839</f>
        <v>0</v>
      </c>
      <c r="IS120" s="217">
        <f>J120*(1-0.329677419354839)</f>
        <v>0</v>
      </c>
    </row>
    <row r="121" spans="1:253" ht="15" customHeight="1" x14ac:dyDescent="0.3">
      <c r="A121" s="213">
        <v>113</v>
      </c>
      <c r="B121" s="214" t="s">
        <v>994</v>
      </c>
      <c r="C121" s="585" t="s">
        <v>995</v>
      </c>
      <c r="D121" s="585"/>
      <c r="E121" s="585"/>
      <c r="F121" s="585"/>
      <c r="G121" s="585"/>
      <c r="H121" s="214" t="s">
        <v>819</v>
      </c>
      <c r="I121" s="215">
        <v>7</v>
      </c>
      <c r="J121" s="503"/>
      <c r="K121" s="216">
        <f t="shared" si="23"/>
        <v>0</v>
      </c>
      <c r="HV121" s="214" t="s">
        <v>974</v>
      </c>
      <c r="HW121" s="214" t="s">
        <v>770</v>
      </c>
      <c r="IR121" s="217">
        <f>J121*0.275135135135135</f>
        <v>0</v>
      </c>
      <c r="IS121" s="217">
        <f>J121*(1-0.275135135135135)</f>
        <v>0</v>
      </c>
    </row>
    <row r="122" spans="1:253" ht="15" customHeight="1" x14ac:dyDescent="0.3">
      <c r="A122" s="213">
        <v>114</v>
      </c>
      <c r="B122" s="214" t="s">
        <v>996</v>
      </c>
      <c r="C122" s="585" t="s">
        <v>997</v>
      </c>
      <c r="D122" s="585"/>
      <c r="E122" s="585"/>
      <c r="F122" s="585"/>
      <c r="G122" s="585"/>
      <c r="H122" s="214" t="s">
        <v>158</v>
      </c>
      <c r="I122" s="215">
        <v>1</v>
      </c>
      <c r="J122" s="503"/>
      <c r="K122" s="216">
        <f t="shared" si="23"/>
        <v>0</v>
      </c>
      <c r="HV122" s="214" t="s">
        <v>974</v>
      </c>
      <c r="HW122" s="214" t="s">
        <v>770</v>
      </c>
      <c r="IR122" s="217">
        <f>J122*0.310381471389646</f>
        <v>0</v>
      </c>
      <c r="IS122" s="217">
        <f>J122*(1-0.310381471389646)</f>
        <v>0</v>
      </c>
    </row>
    <row r="123" spans="1:253" ht="15" customHeight="1" x14ac:dyDescent="0.3">
      <c r="A123" s="213">
        <v>115</v>
      </c>
      <c r="B123" s="214" t="s">
        <v>998</v>
      </c>
      <c r="C123" s="585" t="s">
        <v>999</v>
      </c>
      <c r="D123" s="585"/>
      <c r="E123" s="585"/>
      <c r="F123" s="585"/>
      <c r="G123" s="585"/>
      <c r="H123" s="214" t="s">
        <v>158</v>
      </c>
      <c r="I123" s="215">
        <v>3</v>
      </c>
      <c r="J123" s="503"/>
      <c r="K123" s="216">
        <f t="shared" si="23"/>
        <v>0</v>
      </c>
      <c r="HV123" s="214" t="s">
        <v>974</v>
      </c>
      <c r="HW123" s="214" t="s">
        <v>770</v>
      </c>
      <c r="IR123" s="217">
        <f>J123*0.0340394269621648</f>
        <v>0</v>
      </c>
      <c r="IS123" s="217">
        <f>J123*(1-0.0340394269621648)</f>
        <v>0</v>
      </c>
    </row>
    <row r="124" spans="1:253" ht="15" customHeight="1" x14ac:dyDescent="0.3">
      <c r="A124" s="213">
        <v>116</v>
      </c>
      <c r="B124" s="214" t="s">
        <v>1000</v>
      </c>
      <c r="C124" s="585" t="s">
        <v>1001</v>
      </c>
      <c r="D124" s="585"/>
      <c r="E124" s="585"/>
      <c r="F124" s="585"/>
      <c r="G124" s="585"/>
      <c r="H124" s="214" t="s">
        <v>158</v>
      </c>
      <c r="I124" s="215">
        <v>1</v>
      </c>
      <c r="J124" s="503"/>
      <c r="K124" s="216">
        <f t="shared" si="23"/>
        <v>0</v>
      </c>
      <c r="HV124" s="214" t="s">
        <v>974</v>
      </c>
      <c r="HW124" s="214" t="s">
        <v>770</v>
      </c>
      <c r="IR124" s="217">
        <f>J124*0.15671875</f>
        <v>0</v>
      </c>
      <c r="IS124" s="217">
        <f>J124*(1-0.15671875)</f>
        <v>0</v>
      </c>
    </row>
    <row r="125" spans="1:253" ht="15" customHeight="1" x14ac:dyDescent="0.3">
      <c r="A125" s="213">
        <v>117</v>
      </c>
      <c r="B125" s="214" t="s">
        <v>1061</v>
      </c>
      <c r="C125" s="585" t="s">
        <v>1062</v>
      </c>
      <c r="D125" s="585"/>
      <c r="E125" s="585"/>
      <c r="F125" s="585"/>
      <c r="G125" s="585"/>
      <c r="H125" s="214" t="s">
        <v>158</v>
      </c>
      <c r="I125" s="215">
        <v>1</v>
      </c>
      <c r="J125" s="503"/>
      <c r="K125" s="216">
        <f t="shared" si="23"/>
        <v>0</v>
      </c>
      <c r="HV125" s="214" t="s">
        <v>974</v>
      </c>
      <c r="HW125" s="214" t="s">
        <v>770</v>
      </c>
      <c r="IR125" s="217">
        <f>J125*0</f>
        <v>0</v>
      </c>
      <c r="IS125" s="217">
        <f>J125*(1-0)</f>
        <v>0</v>
      </c>
    </row>
    <row r="126" spans="1:253" ht="15" customHeight="1" x14ac:dyDescent="0.3">
      <c r="A126" s="213">
        <v>118</v>
      </c>
      <c r="B126" s="214" t="s">
        <v>1063</v>
      </c>
      <c r="C126" s="585" t="s">
        <v>1064</v>
      </c>
      <c r="D126" s="585"/>
      <c r="E126" s="585"/>
      <c r="F126" s="585"/>
      <c r="G126" s="585"/>
      <c r="H126" s="214" t="s">
        <v>158</v>
      </c>
      <c r="I126" s="215">
        <v>1</v>
      </c>
      <c r="J126" s="503"/>
      <c r="K126" s="216">
        <f t="shared" si="23"/>
        <v>0</v>
      </c>
      <c r="HV126" s="214" t="s">
        <v>974</v>
      </c>
      <c r="HW126" s="214" t="s">
        <v>770</v>
      </c>
      <c r="IR126" s="217">
        <f>J126*1</f>
        <v>0</v>
      </c>
      <c r="IS126" s="217">
        <f>J126*(1-1)</f>
        <v>0</v>
      </c>
    </row>
    <row r="127" spans="1:253" ht="15" customHeight="1" x14ac:dyDescent="0.3">
      <c r="A127" s="213">
        <v>119</v>
      </c>
      <c r="B127" s="214" t="s">
        <v>1002</v>
      </c>
      <c r="C127" s="585" t="s">
        <v>1003</v>
      </c>
      <c r="D127" s="585"/>
      <c r="E127" s="585"/>
      <c r="F127" s="585"/>
      <c r="G127" s="585"/>
      <c r="H127" s="214" t="s">
        <v>158</v>
      </c>
      <c r="I127" s="215">
        <v>1</v>
      </c>
      <c r="J127" s="503"/>
      <c r="K127" s="216">
        <f t="shared" si="23"/>
        <v>0</v>
      </c>
      <c r="HV127" s="214" t="s">
        <v>974</v>
      </c>
      <c r="HW127" s="214" t="s">
        <v>770</v>
      </c>
      <c r="IR127" s="217">
        <f>J127*0.293879310344828</f>
        <v>0</v>
      </c>
      <c r="IS127" s="217">
        <f>J127*(1-0.293879310344828)</f>
        <v>0</v>
      </c>
    </row>
    <row r="128" spans="1:253" ht="15" customHeight="1" x14ac:dyDescent="0.3">
      <c r="A128" s="213">
        <v>120</v>
      </c>
      <c r="B128" s="214" t="s">
        <v>1004</v>
      </c>
      <c r="C128" s="585" t="s">
        <v>1005</v>
      </c>
      <c r="D128" s="585"/>
      <c r="E128" s="585"/>
      <c r="F128" s="585"/>
      <c r="G128" s="585"/>
      <c r="H128" s="214" t="s">
        <v>158</v>
      </c>
      <c r="I128" s="215">
        <v>3</v>
      </c>
      <c r="J128" s="503"/>
      <c r="K128" s="216">
        <f t="shared" si="23"/>
        <v>0</v>
      </c>
      <c r="HV128" s="214" t="s">
        <v>974</v>
      </c>
      <c r="HW128" s="214" t="s">
        <v>770</v>
      </c>
      <c r="IR128" s="217">
        <f>J128*0.319722222222222</f>
        <v>0</v>
      </c>
      <c r="IS128" s="217">
        <f>J128*(1-0.319722222222222)</f>
        <v>0</v>
      </c>
    </row>
    <row r="129" spans="1:253" ht="15" customHeight="1" x14ac:dyDescent="0.3">
      <c r="A129" s="213">
        <v>121</v>
      </c>
      <c r="B129" s="214" t="s">
        <v>1006</v>
      </c>
      <c r="C129" s="585" t="s">
        <v>1007</v>
      </c>
      <c r="D129" s="585"/>
      <c r="E129" s="585"/>
      <c r="F129" s="585"/>
      <c r="G129" s="585"/>
      <c r="H129" s="214" t="s">
        <v>158</v>
      </c>
      <c r="I129" s="215">
        <v>3</v>
      </c>
      <c r="J129" s="503"/>
      <c r="K129" s="216">
        <f t="shared" si="23"/>
        <v>0</v>
      </c>
      <c r="HV129" s="214" t="s">
        <v>974</v>
      </c>
      <c r="HW129" s="214" t="s">
        <v>770</v>
      </c>
      <c r="IR129" s="217">
        <f>J129*0.256079545454545</f>
        <v>0</v>
      </c>
      <c r="IS129" s="217">
        <f>J129*(1-0.256079545454545)</f>
        <v>0</v>
      </c>
    </row>
    <row r="130" spans="1:253" ht="15" customHeight="1" x14ac:dyDescent="0.3">
      <c r="A130" s="213">
        <v>122</v>
      </c>
      <c r="B130" s="214" t="s">
        <v>1008</v>
      </c>
      <c r="C130" s="585" t="s">
        <v>1009</v>
      </c>
      <c r="D130" s="585"/>
      <c r="E130" s="585"/>
      <c r="F130" s="585"/>
      <c r="G130" s="585"/>
      <c r="H130" s="214" t="s">
        <v>158</v>
      </c>
      <c r="I130" s="215">
        <v>2</v>
      </c>
      <c r="J130" s="503"/>
      <c r="K130" s="216">
        <f t="shared" si="23"/>
        <v>0</v>
      </c>
      <c r="HV130" s="214" t="s">
        <v>974</v>
      </c>
      <c r="HW130" s="214" t="s">
        <v>770</v>
      </c>
      <c r="IR130" s="217">
        <f>J130*0.890790192626256</f>
        <v>0</v>
      </c>
      <c r="IS130" s="217">
        <f>J130*(1-0.890790192626256)</f>
        <v>0</v>
      </c>
    </row>
    <row r="131" spans="1:253" ht="15" customHeight="1" x14ac:dyDescent="0.3">
      <c r="A131" s="213">
        <v>123</v>
      </c>
      <c r="B131" s="214" t="s">
        <v>1010</v>
      </c>
      <c r="C131" s="585" t="s">
        <v>1011</v>
      </c>
      <c r="D131" s="585"/>
      <c r="E131" s="585"/>
      <c r="F131" s="585"/>
      <c r="G131" s="585"/>
      <c r="H131" s="214" t="s">
        <v>158</v>
      </c>
      <c r="I131" s="215">
        <v>4</v>
      </c>
      <c r="J131" s="503"/>
      <c r="K131" s="216">
        <f t="shared" si="23"/>
        <v>0</v>
      </c>
      <c r="HV131" s="214" t="s">
        <v>974</v>
      </c>
      <c r="HW131" s="214" t="s">
        <v>770</v>
      </c>
      <c r="IR131" s="217">
        <f>J131*0</f>
        <v>0</v>
      </c>
      <c r="IS131" s="217">
        <f>J131*(1-0)</f>
        <v>0</v>
      </c>
    </row>
    <row r="132" spans="1:253" ht="15" customHeight="1" x14ac:dyDescent="0.3">
      <c r="A132" s="213">
        <v>124</v>
      </c>
      <c r="B132" s="214" t="s">
        <v>1012</v>
      </c>
      <c r="C132" s="585" t="s">
        <v>1013</v>
      </c>
      <c r="D132" s="585"/>
      <c r="E132" s="585"/>
      <c r="F132" s="585"/>
      <c r="G132" s="585"/>
      <c r="H132" s="214" t="s">
        <v>158</v>
      </c>
      <c r="I132" s="215">
        <v>2</v>
      </c>
      <c r="J132" s="503"/>
      <c r="K132" s="216">
        <f t="shared" si="23"/>
        <v>0</v>
      </c>
      <c r="HV132" s="214" t="s">
        <v>974</v>
      </c>
      <c r="HW132" s="214" t="s">
        <v>770</v>
      </c>
      <c r="IR132" s="217">
        <f>J132*0.417540740740741</f>
        <v>0</v>
      </c>
      <c r="IS132" s="217">
        <f>J132*(1-0.417540740740741)</f>
        <v>0</v>
      </c>
    </row>
    <row r="133" spans="1:253" ht="15" customHeight="1" x14ac:dyDescent="0.3">
      <c r="A133" s="213">
        <v>125</v>
      </c>
      <c r="B133" s="214" t="s">
        <v>1014</v>
      </c>
      <c r="C133" s="585" t="s">
        <v>1015</v>
      </c>
      <c r="D133" s="585"/>
      <c r="E133" s="585"/>
      <c r="F133" s="585"/>
      <c r="G133" s="585"/>
      <c r="H133" s="214" t="s">
        <v>158</v>
      </c>
      <c r="I133" s="215">
        <v>2</v>
      </c>
      <c r="J133" s="503"/>
      <c r="K133" s="216">
        <f t="shared" si="23"/>
        <v>0</v>
      </c>
      <c r="HV133" s="214" t="s">
        <v>974</v>
      </c>
      <c r="HW133" s="214" t="s">
        <v>814</v>
      </c>
      <c r="IR133" s="217">
        <f t="shared" ref="IR133:IR138" si="26">J133*1</f>
        <v>0</v>
      </c>
      <c r="IS133" s="217">
        <f t="shared" ref="IS133:IS138" si="27">J133*(1-1)</f>
        <v>0</v>
      </c>
    </row>
    <row r="134" spans="1:253" ht="15" customHeight="1" x14ac:dyDescent="0.3">
      <c r="A134" s="213">
        <v>126</v>
      </c>
      <c r="B134" s="214" t="s">
        <v>1016</v>
      </c>
      <c r="C134" s="585" t="s">
        <v>1065</v>
      </c>
      <c r="D134" s="585"/>
      <c r="E134" s="585"/>
      <c r="F134" s="585"/>
      <c r="G134" s="585"/>
      <c r="H134" s="214" t="s">
        <v>158</v>
      </c>
      <c r="I134" s="215">
        <v>14</v>
      </c>
      <c r="J134" s="503"/>
      <c r="K134" s="216">
        <f t="shared" si="23"/>
        <v>0</v>
      </c>
      <c r="HV134" s="214" t="s">
        <v>974</v>
      </c>
      <c r="HW134" s="214" t="s">
        <v>770</v>
      </c>
      <c r="IR134" s="217">
        <f t="shared" si="26"/>
        <v>0</v>
      </c>
      <c r="IS134" s="217">
        <f t="shared" si="27"/>
        <v>0</v>
      </c>
    </row>
    <row r="135" spans="1:253" ht="15" customHeight="1" x14ac:dyDescent="0.3">
      <c r="A135" s="213">
        <v>127</v>
      </c>
      <c r="B135" s="214" t="s">
        <v>1017</v>
      </c>
      <c r="C135" s="585" t="s">
        <v>1018</v>
      </c>
      <c r="D135" s="585"/>
      <c r="E135" s="585"/>
      <c r="F135" s="585"/>
      <c r="G135" s="585"/>
      <c r="H135" s="214" t="s">
        <v>158</v>
      </c>
      <c r="I135" s="215">
        <v>2</v>
      </c>
      <c r="J135" s="503"/>
      <c r="K135" s="216">
        <f t="shared" si="23"/>
        <v>0</v>
      </c>
      <c r="HV135" s="214" t="s">
        <v>974</v>
      </c>
      <c r="HW135" s="214" t="s">
        <v>770</v>
      </c>
      <c r="IR135" s="217">
        <f t="shared" si="26"/>
        <v>0</v>
      </c>
      <c r="IS135" s="217">
        <f t="shared" si="27"/>
        <v>0</v>
      </c>
    </row>
    <row r="136" spans="1:253" ht="15" customHeight="1" x14ac:dyDescent="0.3">
      <c r="A136" s="213">
        <v>128</v>
      </c>
      <c r="B136" s="214" t="s">
        <v>1019</v>
      </c>
      <c r="C136" s="585" t="s">
        <v>1020</v>
      </c>
      <c r="D136" s="585"/>
      <c r="E136" s="585"/>
      <c r="F136" s="585"/>
      <c r="G136" s="585"/>
      <c r="H136" s="214" t="s">
        <v>158</v>
      </c>
      <c r="I136" s="215">
        <v>2</v>
      </c>
      <c r="J136" s="503"/>
      <c r="K136" s="216">
        <f t="shared" si="23"/>
        <v>0</v>
      </c>
      <c r="HV136" s="214" t="s">
        <v>974</v>
      </c>
      <c r="HW136" s="214" t="s">
        <v>770</v>
      </c>
      <c r="IR136" s="217">
        <f t="shared" si="26"/>
        <v>0</v>
      </c>
      <c r="IS136" s="217">
        <f t="shared" si="27"/>
        <v>0</v>
      </c>
    </row>
    <row r="137" spans="1:253" ht="15" customHeight="1" x14ac:dyDescent="0.3">
      <c r="A137" s="213">
        <v>129</v>
      </c>
      <c r="B137" s="214" t="s">
        <v>1021</v>
      </c>
      <c r="C137" s="585" t="s">
        <v>1022</v>
      </c>
      <c r="D137" s="585"/>
      <c r="E137" s="585"/>
      <c r="F137" s="585"/>
      <c r="G137" s="585"/>
      <c r="H137" s="214" t="s">
        <v>158</v>
      </c>
      <c r="I137" s="215">
        <v>3</v>
      </c>
      <c r="J137" s="503"/>
      <c r="K137" s="216">
        <f t="shared" si="23"/>
        <v>0</v>
      </c>
      <c r="HV137" s="214" t="s">
        <v>974</v>
      </c>
      <c r="HW137" s="214" t="s">
        <v>770</v>
      </c>
      <c r="IR137" s="217">
        <f t="shared" si="26"/>
        <v>0</v>
      </c>
      <c r="IS137" s="217">
        <f t="shared" si="27"/>
        <v>0</v>
      </c>
    </row>
    <row r="138" spans="1:253" ht="15" customHeight="1" x14ac:dyDescent="0.3">
      <c r="A138" s="213">
        <v>130</v>
      </c>
      <c r="B138" s="214" t="s">
        <v>1023</v>
      </c>
      <c r="C138" s="585" t="s">
        <v>1024</v>
      </c>
      <c r="D138" s="585"/>
      <c r="E138" s="585"/>
      <c r="F138" s="585"/>
      <c r="G138" s="585"/>
      <c r="H138" s="214" t="s">
        <v>158</v>
      </c>
      <c r="I138" s="215">
        <v>2</v>
      </c>
      <c r="J138" s="503"/>
      <c r="K138" s="216">
        <f t="shared" si="23"/>
        <v>0</v>
      </c>
      <c r="HV138" s="214" t="s">
        <v>974</v>
      </c>
      <c r="HW138" s="214" t="s">
        <v>770</v>
      </c>
      <c r="IR138" s="217">
        <f t="shared" si="26"/>
        <v>0</v>
      </c>
      <c r="IS138" s="217">
        <f t="shared" si="27"/>
        <v>0</v>
      </c>
    </row>
    <row r="139" spans="1:253" ht="15" customHeight="1" x14ac:dyDescent="0.3">
      <c r="A139" s="213">
        <v>131</v>
      </c>
      <c r="B139" s="214" t="s">
        <v>1025</v>
      </c>
      <c r="C139" s="585" t="s">
        <v>1026</v>
      </c>
      <c r="D139" s="585"/>
      <c r="E139" s="585"/>
      <c r="F139" s="585"/>
      <c r="G139" s="585"/>
      <c r="H139" s="214" t="s">
        <v>819</v>
      </c>
      <c r="I139" s="215">
        <v>1</v>
      </c>
      <c r="J139" s="503"/>
      <c r="K139" s="216">
        <f t="shared" si="23"/>
        <v>0</v>
      </c>
      <c r="HV139" s="214" t="s">
        <v>974</v>
      </c>
      <c r="HW139" s="214" t="s">
        <v>770</v>
      </c>
      <c r="IR139" s="217">
        <f>J139*0.754775510204082</f>
        <v>0</v>
      </c>
      <c r="IS139" s="217">
        <f>J139*(1-0.754775510204082)</f>
        <v>0</v>
      </c>
    </row>
    <row r="140" spans="1:253" ht="15" customHeight="1" x14ac:dyDescent="0.3">
      <c r="A140" s="213">
        <v>132</v>
      </c>
      <c r="B140" s="214" t="s">
        <v>1027</v>
      </c>
      <c r="C140" s="585" t="s">
        <v>1028</v>
      </c>
      <c r="D140" s="585"/>
      <c r="E140" s="585"/>
      <c r="F140" s="585"/>
      <c r="G140" s="585"/>
      <c r="H140" s="214" t="s">
        <v>158</v>
      </c>
      <c r="I140" s="215">
        <v>3</v>
      </c>
      <c r="J140" s="503"/>
      <c r="K140" s="216">
        <f t="shared" si="23"/>
        <v>0</v>
      </c>
      <c r="HV140" s="214" t="s">
        <v>974</v>
      </c>
      <c r="HW140" s="214" t="s">
        <v>770</v>
      </c>
      <c r="IR140" s="217">
        <f t="shared" ref="IR140:IR159" si="28">J140*1</f>
        <v>0</v>
      </c>
      <c r="IS140" s="217">
        <f t="shared" ref="IS140:IS159" si="29">J140*(1-1)</f>
        <v>0</v>
      </c>
    </row>
    <row r="141" spans="1:253" ht="15" customHeight="1" x14ac:dyDescent="0.3">
      <c r="A141" s="213">
        <v>133</v>
      </c>
      <c r="B141" s="214" t="s">
        <v>1029</v>
      </c>
      <c r="C141" s="585" t="s">
        <v>1030</v>
      </c>
      <c r="D141" s="585"/>
      <c r="E141" s="585"/>
      <c r="F141" s="585"/>
      <c r="G141" s="585"/>
      <c r="H141" s="214" t="s">
        <v>158</v>
      </c>
      <c r="I141" s="215">
        <v>3</v>
      </c>
      <c r="J141" s="503"/>
      <c r="K141" s="216">
        <f t="shared" si="23"/>
        <v>0</v>
      </c>
      <c r="HV141" s="214" t="s">
        <v>974</v>
      </c>
      <c r="HW141" s="214" t="s">
        <v>770</v>
      </c>
      <c r="IR141" s="217">
        <f t="shared" si="28"/>
        <v>0</v>
      </c>
      <c r="IS141" s="217">
        <f t="shared" si="29"/>
        <v>0</v>
      </c>
    </row>
    <row r="142" spans="1:253" ht="15" customHeight="1" x14ac:dyDescent="0.3">
      <c r="A142" s="213">
        <v>134</v>
      </c>
      <c r="B142" s="214" t="s">
        <v>1031</v>
      </c>
      <c r="C142" s="585" t="s">
        <v>1032</v>
      </c>
      <c r="D142" s="585"/>
      <c r="E142" s="585"/>
      <c r="F142" s="585"/>
      <c r="G142" s="585"/>
      <c r="H142" s="214" t="s">
        <v>158</v>
      </c>
      <c r="I142" s="215">
        <v>1</v>
      </c>
      <c r="J142" s="503"/>
      <c r="K142" s="216">
        <f t="shared" si="23"/>
        <v>0</v>
      </c>
      <c r="HV142" s="214" t="s">
        <v>974</v>
      </c>
      <c r="HW142" s="214" t="s">
        <v>770</v>
      </c>
      <c r="IR142" s="217">
        <f t="shared" si="28"/>
        <v>0</v>
      </c>
      <c r="IS142" s="217">
        <f t="shared" si="29"/>
        <v>0</v>
      </c>
    </row>
    <row r="143" spans="1:253" ht="15" customHeight="1" x14ac:dyDescent="0.3">
      <c r="A143" s="213">
        <v>135</v>
      </c>
      <c r="B143" s="214" t="s">
        <v>1033</v>
      </c>
      <c r="C143" s="585" t="s">
        <v>1066</v>
      </c>
      <c r="D143" s="585"/>
      <c r="E143" s="585"/>
      <c r="F143" s="585"/>
      <c r="G143" s="585"/>
      <c r="H143" s="214" t="s">
        <v>158</v>
      </c>
      <c r="I143" s="215">
        <v>1</v>
      </c>
      <c r="J143" s="503"/>
      <c r="K143" s="216">
        <f t="shared" si="23"/>
        <v>0</v>
      </c>
      <c r="HV143" s="214" t="s">
        <v>974</v>
      </c>
      <c r="HW143" s="214" t="s">
        <v>770</v>
      </c>
      <c r="IR143" s="217">
        <f t="shared" si="28"/>
        <v>0</v>
      </c>
      <c r="IS143" s="217">
        <f t="shared" si="29"/>
        <v>0</v>
      </c>
    </row>
    <row r="144" spans="1:253" ht="15" customHeight="1" x14ac:dyDescent="0.3">
      <c r="A144" s="213">
        <v>136</v>
      </c>
      <c r="B144" s="214" t="s">
        <v>1034</v>
      </c>
      <c r="C144" s="585" t="s">
        <v>1035</v>
      </c>
      <c r="D144" s="585"/>
      <c r="E144" s="585"/>
      <c r="F144" s="585"/>
      <c r="G144" s="585"/>
      <c r="H144" s="214" t="s">
        <v>158</v>
      </c>
      <c r="I144" s="215">
        <v>2</v>
      </c>
      <c r="J144" s="503"/>
      <c r="K144" s="216">
        <f t="shared" si="23"/>
        <v>0</v>
      </c>
      <c r="HV144" s="214" t="s">
        <v>974</v>
      </c>
      <c r="HW144" s="214" t="s">
        <v>770</v>
      </c>
      <c r="IR144" s="217">
        <f t="shared" si="28"/>
        <v>0</v>
      </c>
      <c r="IS144" s="217">
        <f t="shared" si="29"/>
        <v>0</v>
      </c>
    </row>
    <row r="145" spans="1:253" ht="15" customHeight="1" x14ac:dyDescent="0.3">
      <c r="A145" s="213">
        <v>137</v>
      </c>
      <c r="B145" s="214" t="s">
        <v>1036</v>
      </c>
      <c r="C145" s="585" t="s">
        <v>1037</v>
      </c>
      <c r="D145" s="585"/>
      <c r="E145" s="585"/>
      <c r="F145" s="585"/>
      <c r="G145" s="585"/>
      <c r="H145" s="214" t="s">
        <v>158</v>
      </c>
      <c r="I145" s="215">
        <v>1</v>
      </c>
      <c r="J145" s="503"/>
      <c r="K145" s="216">
        <f t="shared" si="23"/>
        <v>0</v>
      </c>
      <c r="HV145" s="214" t="s">
        <v>974</v>
      </c>
      <c r="HW145" s="214" t="s">
        <v>770</v>
      </c>
      <c r="IR145" s="217">
        <f t="shared" si="28"/>
        <v>0</v>
      </c>
      <c r="IS145" s="217">
        <f t="shared" si="29"/>
        <v>0</v>
      </c>
    </row>
    <row r="146" spans="1:253" ht="15" customHeight="1" x14ac:dyDescent="0.3">
      <c r="A146" s="213">
        <v>138</v>
      </c>
      <c r="B146" s="214" t="s">
        <v>1038</v>
      </c>
      <c r="C146" s="585" t="s">
        <v>1039</v>
      </c>
      <c r="D146" s="585"/>
      <c r="E146" s="585"/>
      <c r="F146" s="585"/>
      <c r="G146" s="585"/>
      <c r="H146" s="214" t="s">
        <v>158</v>
      </c>
      <c r="I146" s="215">
        <v>1</v>
      </c>
      <c r="J146" s="503"/>
      <c r="K146" s="216">
        <f t="shared" si="23"/>
        <v>0</v>
      </c>
      <c r="HV146" s="214" t="s">
        <v>974</v>
      </c>
      <c r="HW146" s="214" t="s">
        <v>770</v>
      </c>
      <c r="IR146" s="217">
        <f t="shared" si="28"/>
        <v>0</v>
      </c>
      <c r="IS146" s="217">
        <f t="shared" si="29"/>
        <v>0</v>
      </c>
    </row>
    <row r="147" spans="1:253" ht="15" customHeight="1" x14ac:dyDescent="0.3">
      <c r="A147" s="213">
        <v>139</v>
      </c>
      <c r="B147" s="214" t="s">
        <v>1040</v>
      </c>
      <c r="C147" s="585" t="s">
        <v>1041</v>
      </c>
      <c r="D147" s="585"/>
      <c r="E147" s="585"/>
      <c r="F147" s="585"/>
      <c r="G147" s="585"/>
      <c r="H147" s="214" t="s">
        <v>158</v>
      </c>
      <c r="I147" s="215">
        <v>1</v>
      </c>
      <c r="J147" s="503"/>
      <c r="K147" s="216">
        <f t="shared" si="23"/>
        <v>0</v>
      </c>
      <c r="HV147" s="214" t="s">
        <v>974</v>
      </c>
      <c r="HW147" s="214" t="s">
        <v>770</v>
      </c>
      <c r="IR147" s="217">
        <f t="shared" si="28"/>
        <v>0</v>
      </c>
      <c r="IS147" s="217">
        <f t="shared" si="29"/>
        <v>0</v>
      </c>
    </row>
    <row r="148" spans="1:253" ht="15" customHeight="1" x14ac:dyDescent="0.3">
      <c r="A148" s="213">
        <v>140</v>
      </c>
      <c r="B148" s="214" t="s">
        <v>1042</v>
      </c>
      <c r="C148" s="585" t="s">
        <v>1043</v>
      </c>
      <c r="D148" s="585"/>
      <c r="E148" s="585"/>
      <c r="F148" s="585"/>
      <c r="G148" s="585"/>
      <c r="H148" s="214" t="s">
        <v>158</v>
      </c>
      <c r="I148" s="215">
        <v>1</v>
      </c>
      <c r="J148" s="503"/>
      <c r="K148" s="216">
        <f t="shared" si="23"/>
        <v>0</v>
      </c>
      <c r="HV148" s="214" t="s">
        <v>974</v>
      </c>
      <c r="HW148" s="214" t="s">
        <v>770</v>
      </c>
      <c r="IR148" s="217">
        <f t="shared" si="28"/>
        <v>0</v>
      </c>
      <c r="IS148" s="217">
        <f t="shared" si="29"/>
        <v>0</v>
      </c>
    </row>
    <row r="149" spans="1:253" ht="15" customHeight="1" x14ac:dyDescent="0.3">
      <c r="A149" s="213">
        <v>141</v>
      </c>
      <c r="B149" s="214" t="s">
        <v>1044</v>
      </c>
      <c r="C149" s="585" t="s">
        <v>1045</v>
      </c>
      <c r="D149" s="585"/>
      <c r="E149" s="585"/>
      <c r="F149" s="585"/>
      <c r="G149" s="585"/>
      <c r="H149" s="214" t="s">
        <v>158</v>
      </c>
      <c r="I149" s="215">
        <v>3</v>
      </c>
      <c r="J149" s="503"/>
      <c r="K149" s="216">
        <f t="shared" si="23"/>
        <v>0</v>
      </c>
      <c r="HV149" s="214" t="s">
        <v>974</v>
      </c>
      <c r="HW149" s="214" t="s">
        <v>770</v>
      </c>
      <c r="IR149" s="217">
        <f t="shared" si="28"/>
        <v>0</v>
      </c>
      <c r="IS149" s="217">
        <f t="shared" si="29"/>
        <v>0</v>
      </c>
    </row>
    <row r="150" spans="1:253" ht="15" customHeight="1" x14ac:dyDescent="0.3">
      <c r="A150" s="213">
        <v>142</v>
      </c>
      <c r="B150" s="214" t="s">
        <v>1046</v>
      </c>
      <c r="C150" s="585" t="s">
        <v>1047</v>
      </c>
      <c r="D150" s="585"/>
      <c r="E150" s="585"/>
      <c r="F150" s="585"/>
      <c r="G150" s="585"/>
      <c r="H150" s="214" t="s">
        <v>158</v>
      </c>
      <c r="I150" s="215">
        <v>3</v>
      </c>
      <c r="J150" s="503"/>
      <c r="K150" s="216">
        <f t="shared" si="23"/>
        <v>0</v>
      </c>
      <c r="HV150" s="214" t="s">
        <v>974</v>
      </c>
      <c r="HW150" s="214" t="s">
        <v>770</v>
      </c>
      <c r="IR150" s="217">
        <f t="shared" si="28"/>
        <v>0</v>
      </c>
      <c r="IS150" s="217">
        <f t="shared" si="29"/>
        <v>0</v>
      </c>
    </row>
    <row r="151" spans="1:253" ht="15" customHeight="1" x14ac:dyDescent="0.3">
      <c r="A151" s="213">
        <v>143</v>
      </c>
      <c r="B151" s="214" t="s">
        <v>1048</v>
      </c>
      <c r="C151" s="585" t="s">
        <v>1049</v>
      </c>
      <c r="D151" s="585"/>
      <c r="E151" s="585"/>
      <c r="F151" s="585"/>
      <c r="G151" s="585"/>
      <c r="H151" s="214" t="s">
        <v>158</v>
      </c>
      <c r="I151" s="215">
        <v>4</v>
      </c>
      <c r="J151" s="503"/>
      <c r="K151" s="216">
        <f t="shared" si="23"/>
        <v>0</v>
      </c>
      <c r="HV151" s="214" t="s">
        <v>974</v>
      </c>
      <c r="HW151" s="214" t="s">
        <v>770</v>
      </c>
      <c r="IR151" s="217">
        <f t="shared" si="28"/>
        <v>0</v>
      </c>
      <c r="IS151" s="217">
        <f t="shared" si="29"/>
        <v>0</v>
      </c>
    </row>
    <row r="152" spans="1:253" ht="15" customHeight="1" x14ac:dyDescent="0.3">
      <c r="A152" s="213">
        <v>144</v>
      </c>
      <c r="B152" s="214" t="s">
        <v>1050</v>
      </c>
      <c r="C152" s="585" t="s">
        <v>1051</v>
      </c>
      <c r="D152" s="585"/>
      <c r="E152" s="585"/>
      <c r="F152" s="585"/>
      <c r="G152" s="585"/>
      <c r="H152" s="214" t="s">
        <v>158</v>
      </c>
      <c r="I152" s="215">
        <v>3</v>
      </c>
      <c r="J152" s="503"/>
      <c r="K152" s="216">
        <f t="shared" si="23"/>
        <v>0</v>
      </c>
      <c r="HV152" s="214" t="s">
        <v>974</v>
      </c>
      <c r="HW152" s="214" t="s">
        <v>770</v>
      </c>
      <c r="IR152" s="217">
        <f t="shared" si="28"/>
        <v>0</v>
      </c>
      <c r="IS152" s="217">
        <f t="shared" si="29"/>
        <v>0</v>
      </c>
    </row>
    <row r="153" spans="1:253" ht="15" customHeight="1" x14ac:dyDescent="0.3">
      <c r="A153" s="213">
        <v>145</v>
      </c>
      <c r="B153" s="214" t="s">
        <v>1052</v>
      </c>
      <c r="C153" s="585" t="s">
        <v>1053</v>
      </c>
      <c r="D153" s="585"/>
      <c r="E153" s="585"/>
      <c r="F153" s="585"/>
      <c r="G153" s="585"/>
      <c r="H153" s="214" t="s">
        <v>158</v>
      </c>
      <c r="I153" s="215">
        <v>1</v>
      </c>
      <c r="J153" s="503"/>
      <c r="K153" s="216">
        <f t="shared" si="23"/>
        <v>0</v>
      </c>
      <c r="HV153" s="214" t="s">
        <v>974</v>
      </c>
      <c r="HW153" s="214" t="s">
        <v>770</v>
      </c>
      <c r="IR153" s="217">
        <f t="shared" si="28"/>
        <v>0</v>
      </c>
      <c r="IS153" s="217">
        <f t="shared" si="29"/>
        <v>0</v>
      </c>
    </row>
    <row r="154" spans="1:253" ht="15" customHeight="1" x14ac:dyDescent="0.3">
      <c r="A154" s="213">
        <v>146</v>
      </c>
      <c r="B154" s="214" t="s">
        <v>1054</v>
      </c>
      <c r="C154" s="585" t="s">
        <v>1257</v>
      </c>
      <c r="D154" s="585"/>
      <c r="E154" s="585"/>
      <c r="F154" s="585"/>
      <c r="G154" s="585"/>
      <c r="H154" s="214" t="s">
        <v>158</v>
      </c>
      <c r="I154" s="215">
        <v>1</v>
      </c>
      <c r="J154" s="503"/>
      <c r="K154" s="216">
        <f t="shared" si="23"/>
        <v>0</v>
      </c>
      <c r="HV154" s="214" t="s">
        <v>974</v>
      </c>
      <c r="HW154" s="214" t="s">
        <v>770</v>
      </c>
      <c r="IR154" s="217">
        <f t="shared" si="28"/>
        <v>0</v>
      </c>
      <c r="IS154" s="217">
        <f t="shared" si="29"/>
        <v>0</v>
      </c>
    </row>
    <row r="155" spans="1:253" ht="15" customHeight="1" x14ac:dyDescent="0.3">
      <c r="A155" s="213">
        <v>147</v>
      </c>
      <c r="B155" s="214" t="s">
        <v>1055</v>
      </c>
      <c r="C155" s="585" t="s">
        <v>1056</v>
      </c>
      <c r="D155" s="585"/>
      <c r="E155" s="585"/>
      <c r="F155" s="585"/>
      <c r="G155" s="585"/>
      <c r="H155" s="214" t="s">
        <v>158</v>
      </c>
      <c r="I155" s="215">
        <v>3</v>
      </c>
      <c r="J155" s="503"/>
      <c r="K155" s="216">
        <f t="shared" si="23"/>
        <v>0</v>
      </c>
      <c r="HV155" s="214" t="s">
        <v>974</v>
      </c>
      <c r="HW155" s="214" t="s">
        <v>770</v>
      </c>
      <c r="IR155" s="217">
        <f t="shared" si="28"/>
        <v>0</v>
      </c>
      <c r="IS155" s="217">
        <f t="shared" si="29"/>
        <v>0</v>
      </c>
    </row>
    <row r="156" spans="1:253" ht="15" customHeight="1" x14ac:dyDescent="0.3">
      <c r="A156" s="213">
        <v>148</v>
      </c>
      <c r="B156" s="214" t="s">
        <v>1057</v>
      </c>
      <c r="C156" s="585" t="s">
        <v>1058</v>
      </c>
      <c r="D156" s="585"/>
      <c r="E156" s="585"/>
      <c r="F156" s="585"/>
      <c r="G156" s="585"/>
      <c r="H156" s="214" t="s">
        <v>158</v>
      </c>
      <c r="I156" s="215">
        <v>1</v>
      </c>
      <c r="J156" s="503"/>
      <c r="K156" s="216">
        <f t="shared" si="23"/>
        <v>0</v>
      </c>
      <c r="HV156" s="214" t="s">
        <v>974</v>
      </c>
      <c r="HW156" s="214" t="s">
        <v>770</v>
      </c>
      <c r="IR156" s="217">
        <f t="shared" si="28"/>
        <v>0</v>
      </c>
      <c r="IS156" s="217">
        <f t="shared" si="29"/>
        <v>0</v>
      </c>
    </row>
    <row r="157" spans="1:253" ht="15" customHeight="1" x14ac:dyDescent="0.3">
      <c r="A157" s="213">
        <v>149</v>
      </c>
      <c r="B157" s="214" t="s">
        <v>1067</v>
      </c>
      <c r="C157" s="585" t="s">
        <v>1068</v>
      </c>
      <c r="D157" s="585"/>
      <c r="E157" s="585"/>
      <c r="F157" s="585"/>
      <c r="G157" s="585"/>
      <c r="H157" s="214" t="s">
        <v>158</v>
      </c>
      <c r="I157" s="215">
        <v>1</v>
      </c>
      <c r="J157" s="503"/>
      <c r="K157" s="216">
        <f t="shared" si="23"/>
        <v>0</v>
      </c>
      <c r="HV157" s="214" t="s">
        <v>974</v>
      </c>
      <c r="HW157" s="214" t="s">
        <v>770</v>
      </c>
      <c r="IR157" s="217">
        <f t="shared" si="28"/>
        <v>0</v>
      </c>
      <c r="IS157" s="217">
        <f t="shared" si="29"/>
        <v>0</v>
      </c>
    </row>
    <row r="158" spans="1:253" ht="15" customHeight="1" x14ac:dyDescent="0.3">
      <c r="A158" s="213">
        <v>150</v>
      </c>
      <c r="B158" s="214" t="s">
        <v>1069</v>
      </c>
      <c r="C158" s="585" t="s">
        <v>1070</v>
      </c>
      <c r="D158" s="585"/>
      <c r="E158" s="585"/>
      <c r="F158" s="585"/>
      <c r="G158" s="585"/>
      <c r="H158" s="214" t="s">
        <v>158</v>
      </c>
      <c r="I158" s="215">
        <v>1</v>
      </c>
      <c r="J158" s="503"/>
      <c r="K158" s="216">
        <f t="shared" si="23"/>
        <v>0</v>
      </c>
      <c r="HV158" s="214" t="s">
        <v>974</v>
      </c>
      <c r="HW158" s="214" t="s">
        <v>770</v>
      </c>
      <c r="IR158" s="217">
        <f t="shared" si="28"/>
        <v>0</v>
      </c>
      <c r="IS158" s="217">
        <f t="shared" si="29"/>
        <v>0</v>
      </c>
    </row>
    <row r="159" spans="1:253" ht="15" customHeight="1" x14ac:dyDescent="0.3">
      <c r="A159" s="213">
        <v>151</v>
      </c>
      <c r="B159" s="214" t="s">
        <v>1071</v>
      </c>
      <c r="C159" s="585" t="s">
        <v>1072</v>
      </c>
      <c r="D159" s="585"/>
      <c r="E159" s="585"/>
      <c r="F159" s="585"/>
      <c r="G159" s="585"/>
      <c r="H159" s="214" t="s">
        <v>158</v>
      </c>
      <c r="I159" s="215">
        <v>1</v>
      </c>
      <c r="J159" s="503"/>
      <c r="K159" s="216">
        <f t="shared" si="23"/>
        <v>0</v>
      </c>
      <c r="HV159" s="214" t="s">
        <v>974</v>
      </c>
      <c r="HW159" s="214" t="s">
        <v>770</v>
      </c>
      <c r="IR159" s="217">
        <f t="shared" si="28"/>
        <v>0</v>
      </c>
      <c r="IS159" s="217">
        <f t="shared" si="29"/>
        <v>0</v>
      </c>
    </row>
    <row r="160" spans="1:253" ht="15" customHeight="1" x14ac:dyDescent="0.3">
      <c r="A160" s="213">
        <v>152</v>
      </c>
      <c r="B160" s="214" t="s">
        <v>1073</v>
      </c>
      <c r="C160" s="585" t="s">
        <v>1074</v>
      </c>
      <c r="D160" s="585"/>
      <c r="E160" s="585"/>
      <c r="F160" s="585"/>
      <c r="G160" s="585"/>
      <c r="H160" s="214" t="s">
        <v>819</v>
      </c>
      <c r="I160" s="215">
        <v>1</v>
      </c>
      <c r="J160" s="503"/>
      <c r="K160" s="216">
        <f t="shared" si="23"/>
        <v>0</v>
      </c>
      <c r="HV160" s="214" t="s">
        <v>974</v>
      </c>
      <c r="HW160" s="214" t="s">
        <v>770</v>
      </c>
      <c r="IR160" s="217">
        <f>J160*0.856560830544943</f>
        <v>0</v>
      </c>
      <c r="IS160" s="217">
        <f>J160*(1-0.856560830544943)</f>
        <v>0</v>
      </c>
    </row>
    <row r="161" spans="1:253" ht="15" customHeight="1" x14ac:dyDescent="0.3">
      <c r="A161" s="213">
        <v>153</v>
      </c>
      <c r="B161" s="214" t="s">
        <v>1075</v>
      </c>
      <c r="C161" s="585" t="s">
        <v>1076</v>
      </c>
      <c r="D161" s="585"/>
      <c r="E161" s="585"/>
      <c r="F161" s="585"/>
      <c r="G161" s="585"/>
      <c r="H161" s="214" t="s">
        <v>819</v>
      </c>
      <c r="I161" s="215">
        <v>1</v>
      </c>
      <c r="J161" s="503"/>
      <c r="K161" s="216">
        <f t="shared" si="23"/>
        <v>0</v>
      </c>
      <c r="HV161" s="214" t="s">
        <v>974</v>
      </c>
      <c r="HW161" s="214" t="s">
        <v>770</v>
      </c>
      <c r="IR161" s="217">
        <f>J161*0.894336870905727</f>
        <v>0</v>
      </c>
      <c r="IS161" s="217">
        <f>J161*(1-0.894336870905727)</f>
        <v>0</v>
      </c>
    </row>
    <row r="162" spans="1:253" ht="15" customHeight="1" x14ac:dyDescent="0.3">
      <c r="A162" s="213">
        <v>154</v>
      </c>
      <c r="B162" s="214" t="s">
        <v>1077</v>
      </c>
      <c r="C162" s="585" t="s">
        <v>1078</v>
      </c>
      <c r="D162" s="585"/>
      <c r="E162" s="585"/>
      <c r="F162" s="585"/>
      <c r="G162" s="585"/>
      <c r="H162" s="214" t="s">
        <v>819</v>
      </c>
      <c r="I162" s="215">
        <v>1</v>
      </c>
      <c r="J162" s="503"/>
      <c r="K162" s="216">
        <f t="shared" si="23"/>
        <v>0</v>
      </c>
      <c r="HV162" s="214" t="s">
        <v>974</v>
      </c>
      <c r="HW162" s="214" t="s">
        <v>770</v>
      </c>
      <c r="IR162" s="217">
        <f>J162*0.929197643286638</f>
        <v>0</v>
      </c>
      <c r="IS162" s="217">
        <f>J162*(1-0.929197643286638)</f>
        <v>0</v>
      </c>
    </row>
    <row r="163" spans="1:253" ht="15" customHeight="1" x14ac:dyDescent="0.3">
      <c r="A163" s="213">
        <v>155</v>
      </c>
      <c r="B163" s="214" t="s">
        <v>1079</v>
      </c>
      <c r="C163" s="585" t="s">
        <v>1080</v>
      </c>
      <c r="D163" s="585"/>
      <c r="E163" s="585"/>
      <c r="F163" s="585"/>
      <c r="G163" s="585"/>
      <c r="H163" s="214" t="s">
        <v>158</v>
      </c>
      <c r="I163" s="215">
        <v>1</v>
      </c>
      <c r="J163" s="503"/>
      <c r="K163" s="216">
        <f t="shared" si="23"/>
        <v>0</v>
      </c>
      <c r="HV163" s="214" t="s">
        <v>974</v>
      </c>
      <c r="HW163" s="214" t="s">
        <v>770</v>
      </c>
      <c r="IR163" s="217">
        <f>J163*0.908745504416212</f>
        <v>0</v>
      </c>
      <c r="IS163" s="217">
        <f>J163*(1-0.908745504416212)</f>
        <v>0</v>
      </c>
    </row>
    <row r="164" spans="1:253" ht="15" customHeight="1" x14ac:dyDescent="0.3">
      <c r="A164" s="213">
        <v>156</v>
      </c>
      <c r="B164" s="214" t="s">
        <v>1081</v>
      </c>
      <c r="C164" s="585" t="s">
        <v>1082</v>
      </c>
      <c r="D164" s="585"/>
      <c r="E164" s="585"/>
      <c r="F164" s="585"/>
      <c r="G164" s="585"/>
      <c r="H164" s="214" t="s">
        <v>158</v>
      </c>
      <c r="I164" s="215">
        <v>1</v>
      </c>
      <c r="J164" s="503"/>
      <c r="K164" s="216">
        <f t="shared" si="23"/>
        <v>0</v>
      </c>
      <c r="HV164" s="214" t="s">
        <v>974</v>
      </c>
      <c r="HW164" s="214" t="s">
        <v>770</v>
      </c>
      <c r="IR164" s="217">
        <f>J164*0.973711882229232</f>
        <v>0</v>
      </c>
      <c r="IS164" s="217">
        <f>J164*(1-0.973711882229232)</f>
        <v>0</v>
      </c>
    </row>
    <row r="165" spans="1:253" ht="15" customHeight="1" x14ac:dyDescent="0.3">
      <c r="A165" s="213">
        <v>157</v>
      </c>
      <c r="B165" s="214" t="s">
        <v>1083</v>
      </c>
      <c r="C165" s="585" t="s">
        <v>1084</v>
      </c>
      <c r="D165" s="585"/>
      <c r="E165" s="585"/>
      <c r="F165" s="585"/>
      <c r="G165" s="585"/>
      <c r="H165" s="214" t="s">
        <v>158</v>
      </c>
      <c r="I165" s="215">
        <v>1</v>
      </c>
      <c r="J165" s="503"/>
      <c r="K165" s="216">
        <f t="shared" si="23"/>
        <v>0</v>
      </c>
      <c r="HV165" s="214" t="s">
        <v>974</v>
      </c>
      <c r="HW165" s="214" t="s">
        <v>770</v>
      </c>
      <c r="IR165" s="217">
        <f>J165*1</f>
        <v>0</v>
      </c>
      <c r="IS165" s="217">
        <f>J165*(1-1)</f>
        <v>0</v>
      </c>
    </row>
    <row r="166" spans="1:253" ht="15" customHeight="1" x14ac:dyDescent="0.3">
      <c r="A166" s="213">
        <v>158</v>
      </c>
      <c r="B166" s="214" t="s">
        <v>1085</v>
      </c>
      <c r="C166" s="585" t="s">
        <v>1225</v>
      </c>
      <c r="D166" s="585"/>
      <c r="E166" s="585"/>
      <c r="F166" s="585"/>
      <c r="G166" s="585"/>
      <c r="H166" s="214" t="s">
        <v>819</v>
      </c>
      <c r="I166" s="215">
        <v>1</v>
      </c>
      <c r="J166" s="503"/>
      <c r="K166" s="216">
        <f t="shared" si="23"/>
        <v>0</v>
      </c>
      <c r="HV166" s="214" t="s">
        <v>974</v>
      </c>
      <c r="HW166" s="214" t="s">
        <v>770</v>
      </c>
      <c r="IR166" s="217">
        <f>J166*0.881703947368421</f>
        <v>0</v>
      </c>
      <c r="IS166" s="217">
        <f>J166*(1-0.881703947368421)</f>
        <v>0</v>
      </c>
    </row>
    <row r="167" spans="1:253" ht="15" customHeight="1" x14ac:dyDescent="0.3">
      <c r="A167" s="213">
        <v>159</v>
      </c>
      <c r="B167" s="214" t="s">
        <v>1086</v>
      </c>
      <c r="C167" s="585" t="s">
        <v>1087</v>
      </c>
      <c r="D167" s="585"/>
      <c r="E167" s="585"/>
      <c r="F167" s="585"/>
      <c r="G167" s="585"/>
      <c r="H167" s="214" t="s">
        <v>158</v>
      </c>
      <c r="I167" s="215">
        <v>1</v>
      </c>
      <c r="J167" s="503"/>
      <c r="K167" s="216">
        <f t="shared" si="23"/>
        <v>0</v>
      </c>
      <c r="HV167" s="214" t="s">
        <v>974</v>
      </c>
      <c r="HW167" s="214" t="s">
        <v>770</v>
      </c>
      <c r="IR167" s="217">
        <f t="shared" ref="IR167:IR176" si="30">J167*1</f>
        <v>0</v>
      </c>
      <c r="IS167" s="217">
        <f t="shared" ref="IS167:IS176" si="31">J167*(1-1)</f>
        <v>0</v>
      </c>
    </row>
    <row r="168" spans="1:253" ht="15" customHeight="1" x14ac:dyDescent="0.3">
      <c r="A168" s="213">
        <v>160</v>
      </c>
      <c r="B168" s="214" t="s">
        <v>1088</v>
      </c>
      <c r="C168" s="585" t="s">
        <v>1089</v>
      </c>
      <c r="D168" s="585"/>
      <c r="E168" s="585"/>
      <c r="F168" s="585"/>
      <c r="G168" s="585"/>
      <c r="H168" s="214" t="s">
        <v>158</v>
      </c>
      <c r="I168" s="215">
        <v>1</v>
      </c>
      <c r="J168" s="503"/>
      <c r="K168" s="216">
        <f t="shared" si="23"/>
        <v>0</v>
      </c>
      <c r="HV168" s="214" t="s">
        <v>974</v>
      </c>
      <c r="HW168" s="214" t="s">
        <v>770</v>
      </c>
      <c r="IR168" s="217">
        <f t="shared" si="30"/>
        <v>0</v>
      </c>
      <c r="IS168" s="217">
        <f t="shared" si="31"/>
        <v>0</v>
      </c>
    </row>
    <row r="169" spans="1:253" ht="15" customHeight="1" x14ac:dyDescent="0.3">
      <c r="A169" s="213">
        <v>161</v>
      </c>
      <c r="B169" s="214" t="s">
        <v>1090</v>
      </c>
      <c r="C169" s="585" t="s">
        <v>1091</v>
      </c>
      <c r="D169" s="585"/>
      <c r="E169" s="585"/>
      <c r="F169" s="585"/>
      <c r="G169" s="585"/>
      <c r="H169" s="214" t="s">
        <v>158</v>
      </c>
      <c r="I169" s="215">
        <v>1</v>
      </c>
      <c r="J169" s="503"/>
      <c r="K169" s="216">
        <f t="shared" si="23"/>
        <v>0</v>
      </c>
      <c r="HV169" s="214" t="s">
        <v>974</v>
      </c>
      <c r="HW169" s="214" t="s">
        <v>770</v>
      </c>
      <c r="IR169" s="217">
        <f t="shared" si="30"/>
        <v>0</v>
      </c>
      <c r="IS169" s="217">
        <f t="shared" si="31"/>
        <v>0</v>
      </c>
    </row>
    <row r="170" spans="1:253" ht="15" customHeight="1" x14ac:dyDescent="0.3">
      <c r="A170" s="213">
        <v>162</v>
      </c>
      <c r="B170" s="214" t="s">
        <v>1092</v>
      </c>
      <c r="C170" s="585" t="s">
        <v>1093</v>
      </c>
      <c r="D170" s="585"/>
      <c r="E170" s="585"/>
      <c r="F170" s="585"/>
      <c r="G170" s="585"/>
      <c r="H170" s="214" t="s">
        <v>158</v>
      </c>
      <c r="I170" s="215">
        <v>3</v>
      </c>
      <c r="J170" s="503"/>
      <c r="K170" s="216">
        <f t="shared" si="23"/>
        <v>0</v>
      </c>
      <c r="HV170" s="214" t="s">
        <v>974</v>
      </c>
      <c r="HW170" s="214" t="s">
        <v>770</v>
      </c>
      <c r="IR170" s="217">
        <f t="shared" si="30"/>
        <v>0</v>
      </c>
      <c r="IS170" s="217">
        <f t="shared" si="31"/>
        <v>0</v>
      </c>
    </row>
    <row r="171" spans="1:253" ht="15" customHeight="1" x14ac:dyDescent="0.3">
      <c r="A171" s="213">
        <v>163</v>
      </c>
      <c r="B171" s="214" t="s">
        <v>1094</v>
      </c>
      <c r="C171" s="585" t="s">
        <v>1095</v>
      </c>
      <c r="D171" s="585"/>
      <c r="E171" s="585"/>
      <c r="F171" s="585"/>
      <c r="G171" s="585"/>
      <c r="H171" s="214" t="s">
        <v>158</v>
      </c>
      <c r="I171" s="215">
        <v>1</v>
      </c>
      <c r="J171" s="503"/>
      <c r="K171" s="216">
        <f t="shared" si="23"/>
        <v>0</v>
      </c>
      <c r="HV171" s="214" t="s">
        <v>974</v>
      </c>
      <c r="HW171" s="214" t="s">
        <v>770</v>
      </c>
      <c r="IR171" s="217">
        <f t="shared" si="30"/>
        <v>0</v>
      </c>
      <c r="IS171" s="217">
        <f t="shared" si="31"/>
        <v>0</v>
      </c>
    </row>
    <row r="172" spans="1:253" ht="15" customHeight="1" x14ac:dyDescent="0.3">
      <c r="A172" s="213">
        <v>164</v>
      </c>
      <c r="B172" s="214" t="s">
        <v>1096</v>
      </c>
      <c r="C172" s="585" t="s">
        <v>1097</v>
      </c>
      <c r="D172" s="585"/>
      <c r="E172" s="585"/>
      <c r="F172" s="585"/>
      <c r="G172" s="585"/>
      <c r="H172" s="214" t="s">
        <v>158</v>
      </c>
      <c r="I172" s="215">
        <v>1</v>
      </c>
      <c r="J172" s="503"/>
      <c r="K172" s="216">
        <f t="shared" si="23"/>
        <v>0</v>
      </c>
      <c r="HV172" s="214" t="s">
        <v>974</v>
      </c>
      <c r="HW172" s="214" t="s">
        <v>770</v>
      </c>
      <c r="IR172" s="217">
        <f t="shared" si="30"/>
        <v>0</v>
      </c>
      <c r="IS172" s="217">
        <f t="shared" si="31"/>
        <v>0</v>
      </c>
    </row>
    <row r="173" spans="1:253" ht="15" customHeight="1" x14ac:dyDescent="0.3">
      <c r="A173" s="213">
        <v>165</v>
      </c>
      <c r="B173" s="214" t="s">
        <v>1098</v>
      </c>
      <c r="C173" s="585" t="s">
        <v>1099</v>
      </c>
      <c r="D173" s="585"/>
      <c r="E173" s="585"/>
      <c r="F173" s="585"/>
      <c r="G173" s="585"/>
      <c r="H173" s="214" t="s">
        <v>158</v>
      </c>
      <c r="I173" s="215">
        <v>1</v>
      </c>
      <c r="J173" s="503"/>
      <c r="K173" s="216">
        <f t="shared" si="23"/>
        <v>0</v>
      </c>
      <c r="HV173" s="214" t="s">
        <v>974</v>
      </c>
      <c r="HW173" s="214" t="s">
        <v>770</v>
      </c>
      <c r="IR173" s="217">
        <f t="shared" si="30"/>
        <v>0</v>
      </c>
      <c r="IS173" s="217">
        <f t="shared" si="31"/>
        <v>0</v>
      </c>
    </row>
    <row r="174" spans="1:253" ht="15" customHeight="1" x14ac:dyDescent="0.3">
      <c r="A174" s="213">
        <v>166</v>
      </c>
      <c r="B174" s="214" t="s">
        <v>1100</v>
      </c>
      <c r="C174" s="585" t="s">
        <v>1101</v>
      </c>
      <c r="D174" s="585"/>
      <c r="E174" s="585"/>
      <c r="F174" s="585"/>
      <c r="G174" s="585"/>
      <c r="H174" s="214" t="s">
        <v>158</v>
      </c>
      <c r="I174" s="215">
        <v>1</v>
      </c>
      <c r="J174" s="503"/>
      <c r="K174" s="216">
        <f t="shared" si="23"/>
        <v>0</v>
      </c>
      <c r="HV174" s="214" t="s">
        <v>974</v>
      </c>
      <c r="HW174" s="214" t="s">
        <v>770</v>
      </c>
      <c r="IR174" s="217">
        <f t="shared" si="30"/>
        <v>0</v>
      </c>
      <c r="IS174" s="217">
        <f t="shared" si="31"/>
        <v>0</v>
      </c>
    </row>
    <row r="175" spans="1:253" ht="15" customHeight="1" x14ac:dyDescent="0.3">
      <c r="A175" s="213">
        <v>167</v>
      </c>
      <c r="B175" s="214" t="s">
        <v>1102</v>
      </c>
      <c r="C175" s="585" t="s">
        <v>1103</v>
      </c>
      <c r="D175" s="585"/>
      <c r="E175" s="585"/>
      <c r="F175" s="585"/>
      <c r="G175" s="585"/>
      <c r="H175" s="214" t="s">
        <v>158</v>
      </c>
      <c r="I175" s="215">
        <v>1</v>
      </c>
      <c r="J175" s="503"/>
      <c r="K175" s="216">
        <f t="shared" si="23"/>
        <v>0</v>
      </c>
      <c r="HV175" s="214" t="s">
        <v>974</v>
      </c>
      <c r="HW175" s="214" t="s">
        <v>770</v>
      </c>
      <c r="IR175" s="217">
        <f t="shared" si="30"/>
        <v>0</v>
      </c>
      <c r="IS175" s="217">
        <f t="shared" si="31"/>
        <v>0</v>
      </c>
    </row>
    <row r="176" spans="1:253" ht="15" customHeight="1" x14ac:dyDescent="0.3">
      <c r="A176" s="213">
        <v>168</v>
      </c>
      <c r="B176" s="214" t="s">
        <v>1104</v>
      </c>
      <c r="C176" s="585" t="s">
        <v>1105</v>
      </c>
      <c r="D176" s="585"/>
      <c r="E176" s="585"/>
      <c r="F176" s="585"/>
      <c r="G176" s="585"/>
      <c r="H176" s="214" t="s">
        <v>158</v>
      </c>
      <c r="I176" s="215">
        <v>1</v>
      </c>
      <c r="J176" s="503"/>
      <c r="K176" s="216">
        <f t="shared" si="23"/>
        <v>0</v>
      </c>
      <c r="HV176" s="214" t="s">
        <v>974</v>
      </c>
      <c r="HW176" s="214" t="s">
        <v>770</v>
      </c>
      <c r="IR176" s="217">
        <f t="shared" si="30"/>
        <v>0</v>
      </c>
      <c r="IS176" s="217">
        <f t="shared" si="31"/>
        <v>0</v>
      </c>
    </row>
    <row r="177" spans="1:253" ht="15" customHeight="1" x14ac:dyDescent="0.3">
      <c r="A177" s="218">
        <v>169</v>
      </c>
      <c r="B177" s="219" t="s">
        <v>1106</v>
      </c>
      <c r="C177" s="589" t="s">
        <v>1107</v>
      </c>
      <c r="D177" s="589"/>
      <c r="E177" s="589"/>
      <c r="F177" s="589"/>
      <c r="G177" s="589"/>
      <c r="H177" s="219" t="s">
        <v>0</v>
      </c>
      <c r="I177" s="504"/>
      <c r="J177" s="504"/>
      <c r="K177" s="220">
        <f t="shared" si="23"/>
        <v>0</v>
      </c>
      <c r="HV177" s="214" t="s">
        <v>974</v>
      </c>
      <c r="HW177" s="214" t="s">
        <v>770</v>
      </c>
      <c r="IR177" s="217">
        <f>J177*0</f>
        <v>0</v>
      </c>
      <c r="IS177" s="217">
        <f>J177*(1-0)</f>
        <v>0</v>
      </c>
    </row>
    <row r="178" spans="1:253" ht="15" customHeight="1" x14ac:dyDescent="0.3"/>
    <row r="179" spans="1:253" ht="15" customHeight="1" x14ac:dyDescent="0.3">
      <c r="J179" s="221" t="s">
        <v>1059</v>
      </c>
      <c r="K179" s="222">
        <f>K3+K22+K27+K39+K66+K111</f>
        <v>0</v>
      </c>
    </row>
  </sheetData>
  <sheetProtection algorithmName="SHA-512" hashValue="eylE+Jqvy5GY0vFae/BZ8U6Gl80wMqZf84/+x9P4lONnNv4VNhJHbKOjSo6V1MmqZJYL6+2kNzwA+yPuAdtr/Q==" saltValue="zctm1wY/IpT0TLJL4qi4UQ==" spinCount="100000" sheet="1" objects="1" scenarios="1"/>
  <mergeCells count="177">
    <mergeCell ref="C174:G174"/>
    <mergeCell ref="C175:G175"/>
    <mergeCell ref="C176:G176"/>
    <mergeCell ref="C177:G177"/>
    <mergeCell ref="C165:G165"/>
    <mergeCell ref="C166:G166"/>
    <mergeCell ref="C167:G167"/>
    <mergeCell ref="C168:G168"/>
    <mergeCell ref="C169:G169"/>
    <mergeCell ref="C170:G170"/>
    <mergeCell ref="C171:G171"/>
    <mergeCell ref="C172:G172"/>
    <mergeCell ref="C173:G173"/>
    <mergeCell ref="C156:G156"/>
    <mergeCell ref="C157:G157"/>
    <mergeCell ref="C158:G158"/>
    <mergeCell ref="C159:G159"/>
    <mergeCell ref="C160:G160"/>
    <mergeCell ref="C161:G161"/>
    <mergeCell ref="C162:G162"/>
    <mergeCell ref="C163:G163"/>
    <mergeCell ref="C164:G164"/>
    <mergeCell ref="C147:G147"/>
    <mergeCell ref="C148:G148"/>
    <mergeCell ref="C149:G149"/>
    <mergeCell ref="C150:G150"/>
    <mergeCell ref="C151:G151"/>
    <mergeCell ref="C152:G152"/>
    <mergeCell ref="C153:G153"/>
    <mergeCell ref="C154:G154"/>
    <mergeCell ref="C155:G155"/>
    <mergeCell ref="A1:K1"/>
    <mergeCell ref="C2:G2"/>
    <mergeCell ref="C3:G3"/>
    <mergeCell ref="C4:G4"/>
    <mergeCell ref="C5:G5"/>
    <mergeCell ref="C12:G12"/>
    <mergeCell ref="C13:G13"/>
    <mergeCell ref="C14:G14"/>
    <mergeCell ref="C15:G15"/>
    <mergeCell ref="C16:G16"/>
    <mergeCell ref="C17:G17"/>
    <mergeCell ref="C6:G6"/>
    <mergeCell ref="C7:G7"/>
    <mergeCell ref="C8:G8"/>
    <mergeCell ref="C9:G9"/>
    <mergeCell ref="C10:G10"/>
    <mergeCell ref="C11:G11"/>
    <mergeCell ref="C24:G24"/>
    <mergeCell ref="C25:G25"/>
    <mergeCell ref="C26:G26"/>
    <mergeCell ref="C27:G27"/>
    <mergeCell ref="C28:G28"/>
    <mergeCell ref="C29:G29"/>
    <mergeCell ref="C18:G18"/>
    <mergeCell ref="C19:G19"/>
    <mergeCell ref="C20:G20"/>
    <mergeCell ref="C21:G21"/>
    <mergeCell ref="C22:G22"/>
    <mergeCell ref="C23:G23"/>
    <mergeCell ref="C36:G36"/>
    <mergeCell ref="C37:G37"/>
    <mergeCell ref="C38:G38"/>
    <mergeCell ref="C39:G39"/>
    <mergeCell ref="C40:G40"/>
    <mergeCell ref="C41:G41"/>
    <mergeCell ref="C30:G30"/>
    <mergeCell ref="C31:G31"/>
    <mergeCell ref="C32:G32"/>
    <mergeCell ref="C33:G33"/>
    <mergeCell ref="C34:G34"/>
    <mergeCell ref="C35:G35"/>
    <mergeCell ref="C48:G48"/>
    <mergeCell ref="C49:G49"/>
    <mergeCell ref="C50:G50"/>
    <mergeCell ref="C51:G51"/>
    <mergeCell ref="C52:G52"/>
    <mergeCell ref="C53:G53"/>
    <mergeCell ref="C42:G42"/>
    <mergeCell ref="C43:G43"/>
    <mergeCell ref="C44:G44"/>
    <mergeCell ref="C45:G45"/>
    <mergeCell ref="C46:G46"/>
    <mergeCell ref="C47:G47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72:G72"/>
    <mergeCell ref="C73:G73"/>
    <mergeCell ref="C74:G74"/>
    <mergeCell ref="C75:G75"/>
    <mergeCell ref="C76:G76"/>
    <mergeCell ref="C77:G77"/>
    <mergeCell ref="C66:G66"/>
    <mergeCell ref="C67:G67"/>
    <mergeCell ref="C68:G68"/>
    <mergeCell ref="C69:G69"/>
    <mergeCell ref="C70:G70"/>
    <mergeCell ref="C71:G71"/>
    <mergeCell ref="C84:G84"/>
    <mergeCell ref="C85:G85"/>
    <mergeCell ref="C86:G86"/>
    <mergeCell ref="C87:G87"/>
    <mergeCell ref="C88:G88"/>
    <mergeCell ref="C89:G89"/>
    <mergeCell ref="C78:G78"/>
    <mergeCell ref="C79:G79"/>
    <mergeCell ref="C80:G80"/>
    <mergeCell ref="C81:G81"/>
    <mergeCell ref="C82:G82"/>
    <mergeCell ref="C83:G83"/>
    <mergeCell ref="C96:G96"/>
    <mergeCell ref="C97:G97"/>
    <mergeCell ref="C98:G98"/>
    <mergeCell ref="C99:G99"/>
    <mergeCell ref="C100:G100"/>
    <mergeCell ref="C101:G101"/>
    <mergeCell ref="C90:G90"/>
    <mergeCell ref="C91:G91"/>
    <mergeCell ref="C92:G92"/>
    <mergeCell ref="C93:G93"/>
    <mergeCell ref="C94:G94"/>
    <mergeCell ref="C95:G95"/>
    <mergeCell ref="C108:G108"/>
    <mergeCell ref="C109:G109"/>
    <mergeCell ref="C110:G110"/>
    <mergeCell ref="C111:G111"/>
    <mergeCell ref="C112:G112"/>
    <mergeCell ref="C113:G113"/>
    <mergeCell ref="C102:G102"/>
    <mergeCell ref="C103:G103"/>
    <mergeCell ref="C104:G104"/>
    <mergeCell ref="C105:G105"/>
    <mergeCell ref="C106:G106"/>
    <mergeCell ref="C107:G107"/>
    <mergeCell ref="C120:G120"/>
    <mergeCell ref="C121:G121"/>
    <mergeCell ref="C122:G122"/>
    <mergeCell ref="C123:G123"/>
    <mergeCell ref="C124:G124"/>
    <mergeCell ref="C125:G125"/>
    <mergeCell ref="C114:G114"/>
    <mergeCell ref="C115:G115"/>
    <mergeCell ref="C116:G116"/>
    <mergeCell ref="C117:G117"/>
    <mergeCell ref="C118:G118"/>
    <mergeCell ref="C119:G119"/>
    <mergeCell ref="C132:G132"/>
    <mergeCell ref="C133:G133"/>
    <mergeCell ref="C134:G134"/>
    <mergeCell ref="C135:G135"/>
    <mergeCell ref="C136:G136"/>
    <mergeCell ref="C137:G137"/>
    <mergeCell ref="C126:G126"/>
    <mergeCell ref="C127:G127"/>
    <mergeCell ref="C128:G128"/>
    <mergeCell ref="C129:G129"/>
    <mergeCell ref="C130:G130"/>
    <mergeCell ref="C131:G131"/>
    <mergeCell ref="C144:G144"/>
    <mergeCell ref="C145:G145"/>
    <mergeCell ref="C146:G146"/>
    <mergeCell ref="C138:G138"/>
    <mergeCell ref="C139:G139"/>
    <mergeCell ref="C140:G140"/>
    <mergeCell ref="C141:G141"/>
    <mergeCell ref="C142:G142"/>
    <mergeCell ref="C143:G143"/>
  </mergeCells>
  <pageMargins left="0.7" right="0.7" top="0.78740157499999996" bottom="0.78740157499999996" header="0.3" footer="0.3"/>
  <pageSetup paperSize="9" scale="79" orientation="landscape" horizontalDpi="4294967293" verticalDpi="0" r:id="rId1"/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0"/>
  <sheetViews>
    <sheetView topLeftCell="A41" zoomScaleNormal="100" workbookViewId="0">
      <selection activeCell="F45" sqref="F45:F50"/>
    </sheetView>
  </sheetViews>
  <sheetFormatPr defaultRowHeight="13.2" x14ac:dyDescent="0.25"/>
  <cols>
    <col min="3" max="3" width="56.109375" customWidth="1"/>
    <col min="7" max="7" width="14.88671875" customWidth="1"/>
    <col min="9" max="9" width="15.5546875" customWidth="1"/>
    <col min="11" max="11" width="17" customWidth="1"/>
  </cols>
  <sheetData>
    <row r="1" spans="1:11" x14ac:dyDescent="0.25">
      <c r="A1" s="421"/>
      <c r="B1" s="422"/>
      <c r="C1" s="423"/>
      <c r="D1" s="423"/>
      <c r="E1" s="424"/>
      <c r="F1" s="425"/>
      <c r="G1" s="424"/>
      <c r="H1" s="424"/>
      <c r="I1" s="424"/>
      <c r="J1" s="424"/>
      <c r="K1" s="426"/>
    </row>
    <row r="2" spans="1:11" ht="21" x14ac:dyDescent="0.25">
      <c r="A2" s="427" t="s">
        <v>1108</v>
      </c>
      <c r="B2" s="428"/>
      <c r="C2" s="429"/>
      <c r="D2" s="429"/>
      <c r="E2" s="430"/>
      <c r="F2" s="431"/>
      <c r="G2" s="430"/>
      <c r="H2" s="430"/>
      <c r="I2" s="432"/>
      <c r="J2" s="432"/>
      <c r="K2" s="433">
        <v>36526</v>
      </c>
    </row>
    <row r="3" spans="1:11" ht="15.6" x14ac:dyDescent="0.3">
      <c r="A3" s="434" t="s">
        <v>1109</v>
      </c>
      <c r="B3" s="435"/>
      <c r="C3" s="436" t="s">
        <v>1110</v>
      </c>
      <c r="D3" s="437"/>
      <c r="E3" s="438"/>
      <c r="F3" s="439"/>
      <c r="G3" s="440"/>
      <c r="H3" s="441"/>
      <c r="I3" s="442" t="s">
        <v>1111</v>
      </c>
      <c r="J3" s="442"/>
      <c r="K3" s="443">
        <v>0</v>
      </c>
    </row>
    <row r="4" spans="1:11" ht="14.4" thickBot="1" x14ac:dyDescent="0.3">
      <c r="A4" s="434" t="s">
        <v>1112</v>
      </c>
      <c r="B4" s="435"/>
      <c r="C4" s="444" t="s">
        <v>1113</v>
      </c>
      <c r="D4" s="437"/>
      <c r="E4" s="438"/>
      <c r="F4" s="439"/>
      <c r="G4" s="440"/>
      <c r="H4" s="440"/>
      <c r="I4" s="432"/>
      <c r="J4" s="432"/>
      <c r="K4" s="445"/>
    </row>
    <row r="5" spans="1:11" ht="16.2" thickBot="1" x14ac:dyDescent="0.35">
      <c r="A5" s="434" t="s">
        <v>1114</v>
      </c>
      <c r="B5" s="435"/>
      <c r="C5" s="446" t="s">
        <v>1115</v>
      </c>
      <c r="D5" s="447" t="s">
        <v>1116</v>
      </c>
      <c r="E5" s="448"/>
      <c r="F5" s="449"/>
      <c r="G5" s="450">
        <f>G8+G10+G20+G29+G35+G40+G44</f>
        <v>0</v>
      </c>
      <c r="H5" s="451"/>
      <c r="I5" s="450">
        <f>I8+I10+I20+I29+I35+I40+I44</f>
        <v>0</v>
      </c>
      <c r="J5" s="450"/>
      <c r="K5" s="452">
        <f>I5+G5</f>
        <v>0</v>
      </c>
    </row>
    <row r="6" spans="1:11" ht="15.6" x14ac:dyDescent="0.25">
      <c r="A6" s="453"/>
      <c r="B6" s="454"/>
      <c r="C6" s="455"/>
      <c r="D6" s="456"/>
      <c r="E6" s="457"/>
      <c r="F6" s="458"/>
      <c r="G6" s="459"/>
      <c r="H6" s="460"/>
      <c r="I6" s="459"/>
      <c r="J6" s="450"/>
      <c r="K6" s="461"/>
    </row>
    <row r="7" spans="1:11" ht="19.8" thickBot="1" x14ac:dyDescent="0.3">
      <c r="A7" s="462" t="s">
        <v>1117</v>
      </c>
      <c r="B7" s="463" t="s">
        <v>1118</v>
      </c>
      <c r="C7" s="464" t="s">
        <v>116</v>
      </c>
      <c r="D7" s="464" t="s">
        <v>117</v>
      </c>
      <c r="E7" s="465" t="s">
        <v>118</v>
      </c>
      <c r="F7" s="466" t="s">
        <v>1119</v>
      </c>
      <c r="G7" s="465" t="s">
        <v>1120</v>
      </c>
      <c r="H7" s="465" t="s">
        <v>1121</v>
      </c>
      <c r="I7" s="467" t="s">
        <v>1122</v>
      </c>
      <c r="J7" s="468"/>
      <c r="K7" s="469" t="s">
        <v>1123</v>
      </c>
    </row>
    <row r="8" spans="1:11" ht="13.8" x14ac:dyDescent="0.25">
      <c r="A8" s="470" t="s">
        <v>1124</v>
      </c>
      <c r="B8" s="471"/>
      <c r="C8" s="472" t="s">
        <v>1125</v>
      </c>
      <c r="D8" s="473" t="s">
        <v>1126</v>
      </c>
      <c r="E8" s="474" t="s">
        <v>1127</v>
      </c>
      <c r="F8" s="475"/>
      <c r="G8" s="476">
        <f>SUM(G9)</f>
        <v>0</v>
      </c>
      <c r="H8" s="475"/>
      <c r="I8" s="477">
        <f>SUM(I9)</f>
        <v>0</v>
      </c>
      <c r="J8" s="478"/>
      <c r="K8" s="479">
        <f>SUM(K9)</f>
        <v>0</v>
      </c>
    </row>
    <row r="9" spans="1:11" ht="40.200000000000003" customHeight="1" x14ac:dyDescent="0.25">
      <c r="A9" s="480">
        <v>1</v>
      </c>
      <c r="B9" s="481">
        <v>1</v>
      </c>
      <c r="C9" s="482" t="s">
        <v>1128</v>
      </c>
      <c r="D9" s="483" t="s">
        <v>726</v>
      </c>
      <c r="E9" s="484">
        <v>1</v>
      </c>
      <c r="F9" s="500"/>
      <c r="G9" s="484">
        <f>F9*E9</f>
        <v>0</v>
      </c>
      <c r="H9" s="500"/>
      <c r="I9" s="484">
        <f>H9*E9</f>
        <v>0</v>
      </c>
      <c r="J9" s="485"/>
      <c r="K9" s="486">
        <f>I9+G9</f>
        <v>0</v>
      </c>
    </row>
    <row r="10" spans="1:11" ht="40.200000000000003" customHeight="1" x14ac:dyDescent="0.25">
      <c r="A10" s="470" t="s">
        <v>1129</v>
      </c>
      <c r="B10" s="487"/>
      <c r="C10" s="472" t="s">
        <v>1130</v>
      </c>
      <c r="D10" s="473" t="s">
        <v>1126</v>
      </c>
      <c r="E10" s="474" t="s">
        <v>1127</v>
      </c>
      <c r="F10" s="475"/>
      <c r="G10" s="476">
        <f>SUM(G11:G19)</f>
        <v>0</v>
      </c>
      <c r="H10" s="475"/>
      <c r="I10" s="477">
        <f>SUM(I11:I19)</f>
        <v>0</v>
      </c>
      <c r="J10" s="478"/>
      <c r="K10" s="488">
        <f>SUM(K11:K19)</f>
        <v>0</v>
      </c>
    </row>
    <row r="11" spans="1:11" ht="40.200000000000003" customHeight="1" x14ac:dyDescent="0.25">
      <c r="A11" s="480">
        <v>2</v>
      </c>
      <c r="B11" s="481">
        <v>2</v>
      </c>
      <c r="C11" s="482" t="s">
        <v>1131</v>
      </c>
      <c r="D11" s="483" t="s">
        <v>1132</v>
      </c>
      <c r="E11" s="484">
        <v>45</v>
      </c>
      <c r="F11" s="500"/>
      <c r="G11" s="484">
        <f>F11*E11</f>
        <v>0</v>
      </c>
      <c r="H11" s="500"/>
      <c r="I11" s="484">
        <f>H11*E11</f>
        <v>0</v>
      </c>
      <c r="J11" s="485"/>
      <c r="K11" s="486">
        <f>I11+G11</f>
        <v>0</v>
      </c>
    </row>
    <row r="12" spans="1:11" ht="40.200000000000003" customHeight="1" x14ac:dyDescent="0.25">
      <c r="A12" s="480">
        <v>3</v>
      </c>
      <c r="B12" s="481">
        <v>2</v>
      </c>
      <c r="C12" s="482" t="s">
        <v>1133</v>
      </c>
      <c r="D12" s="483" t="s">
        <v>1132</v>
      </c>
      <c r="E12" s="484">
        <v>6</v>
      </c>
      <c r="F12" s="500"/>
      <c r="G12" s="484">
        <f t="shared" ref="G12:G19" si="0">F12*E12</f>
        <v>0</v>
      </c>
      <c r="H12" s="500"/>
      <c r="I12" s="484">
        <f t="shared" ref="I12:I19" si="1">H12*E12</f>
        <v>0</v>
      </c>
      <c r="J12" s="485"/>
      <c r="K12" s="486">
        <f t="shared" ref="K12:K19" si="2">I12+G12</f>
        <v>0</v>
      </c>
    </row>
    <row r="13" spans="1:11" ht="40.200000000000003" customHeight="1" x14ac:dyDescent="0.25">
      <c r="A13" s="480">
        <v>4</v>
      </c>
      <c r="B13" s="481">
        <v>2</v>
      </c>
      <c r="C13" s="482" t="s">
        <v>1134</v>
      </c>
      <c r="D13" s="483" t="s">
        <v>1132</v>
      </c>
      <c r="E13" s="484">
        <v>235</v>
      </c>
      <c r="F13" s="500"/>
      <c r="G13" s="484">
        <f t="shared" si="0"/>
        <v>0</v>
      </c>
      <c r="H13" s="500"/>
      <c r="I13" s="484">
        <f t="shared" si="1"/>
        <v>0</v>
      </c>
      <c r="J13" s="485"/>
      <c r="K13" s="486">
        <f t="shared" si="2"/>
        <v>0</v>
      </c>
    </row>
    <row r="14" spans="1:11" ht="40.200000000000003" customHeight="1" x14ac:dyDescent="0.25">
      <c r="A14" s="480">
        <v>5</v>
      </c>
      <c r="B14" s="481">
        <v>2</v>
      </c>
      <c r="C14" s="482" t="s">
        <v>1135</v>
      </c>
      <c r="D14" s="483" t="s">
        <v>1132</v>
      </c>
      <c r="E14" s="484">
        <v>395</v>
      </c>
      <c r="F14" s="500"/>
      <c r="G14" s="484">
        <f t="shared" si="0"/>
        <v>0</v>
      </c>
      <c r="H14" s="500"/>
      <c r="I14" s="484">
        <f t="shared" si="1"/>
        <v>0</v>
      </c>
      <c r="J14" s="485"/>
      <c r="K14" s="486">
        <f t="shared" si="2"/>
        <v>0</v>
      </c>
    </row>
    <row r="15" spans="1:11" ht="40.200000000000003" customHeight="1" x14ac:dyDescent="0.25">
      <c r="A15" s="480">
        <v>6</v>
      </c>
      <c r="B15" s="481">
        <v>2</v>
      </c>
      <c r="C15" s="482" t="s">
        <v>1136</v>
      </c>
      <c r="D15" s="483" t="s">
        <v>1132</v>
      </c>
      <c r="E15" s="484">
        <v>30</v>
      </c>
      <c r="F15" s="500"/>
      <c r="G15" s="484">
        <f t="shared" si="0"/>
        <v>0</v>
      </c>
      <c r="H15" s="500"/>
      <c r="I15" s="484">
        <f t="shared" si="1"/>
        <v>0</v>
      </c>
      <c r="J15" s="485"/>
      <c r="K15" s="486">
        <f t="shared" si="2"/>
        <v>0</v>
      </c>
    </row>
    <row r="16" spans="1:11" ht="40.200000000000003" customHeight="1" x14ac:dyDescent="0.25">
      <c r="A16" s="480">
        <v>7</v>
      </c>
      <c r="B16" s="481">
        <v>2</v>
      </c>
      <c r="C16" s="482" t="s">
        <v>1137</v>
      </c>
      <c r="D16" s="483" t="s">
        <v>1132</v>
      </c>
      <c r="E16" s="484">
        <v>40</v>
      </c>
      <c r="F16" s="500"/>
      <c r="G16" s="484">
        <f t="shared" si="0"/>
        <v>0</v>
      </c>
      <c r="H16" s="500"/>
      <c r="I16" s="484">
        <f t="shared" si="1"/>
        <v>0</v>
      </c>
      <c r="J16" s="485"/>
      <c r="K16" s="486">
        <f t="shared" si="2"/>
        <v>0</v>
      </c>
    </row>
    <row r="17" spans="1:11" ht="40.200000000000003" customHeight="1" x14ac:dyDescent="0.25">
      <c r="A17" s="480">
        <v>8</v>
      </c>
      <c r="B17" s="481">
        <v>2</v>
      </c>
      <c r="C17" s="482" t="s">
        <v>1138</v>
      </c>
      <c r="D17" s="483" t="s">
        <v>1132</v>
      </c>
      <c r="E17" s="484">
        <v>35</v>
      </c>
      <c r="F17" s="500"/>
      <c r="G17" s="484">
        <f t="shared" si="0"/>
        <v>0</v>
      </c>
      <c r="H17" s="500"/>
      <c r="I17" s="484">
        <f t="shared" si="1"/>
        <v>0</v>
      </c>
      <c r="J17" s="485"/>
      <c r="K17" s="486">
        <f t="shared" si="2"/>
        <v>0</v>
      </c>
    </row>
    <row r="18" spans="1:11" ht="40.200000000000003" customHeight="1" x14ac:dyDescent="0.25">
      <c r="A18" s="480">
        <v>9</v>
      </c>
      <c r="B18" s="481">
        <v>2</v>
      </c>
      <c r="C18" s="482" t="s">
        <v>1139</v>
      </c>
      <c r="D18" s="483" t="s">
        <v>1132</v>
      </c>
      <c r="E18" s="484">
        <v>65</v>
      </c>
      <c r="F18" s="500"/>
      <c r="G18" s="484">
        <f t="shared" si="0"/>
        <v>0</v>
      </c>
      <c r="H18" s="500"/>
      <c r="I18" s="484">
        <f t="shared" si="1"/>
        <v>0</v>
      </c>
      <c r="J18" s="485"/>
      <c r="K18" s="486">
        <f t="shared" si="2"/>
        <v>0</v>
      </c>
    </row>
    <row r="19" spans="1:11" ht="40.200000000000003" customHeight="1" x14ac:dyDescent="0.25">
      <c r="A19" s="480">
        <v>10</v>
      </c>
      <c r="B19" s="481">
        <v>2</v>
      </c>
      <c r="C19" s="489" t="s">
        <v>1251</v>
      </c>
      <c r="D19" s="483" t="s">
        <v>1132</v>
      </c>
      <c r="E19" s="484">
        <v>45</v>
      </c>
      <c r="F19" s="500"/>
      <c r="G19" s="484">
        <f t="shared" si="0"/>
        <v>0</v>
      </c>
      <c r="H19" s="500"/>
      <c r="I19" s="484">
        <f t="shared" si="1"/>
        <v>0</v>
      </c>
      <c r="J19" s="485"/>
      <c r="K19" s="486">
        <f t="shared" si="2"/>
        <v>0</v>
      </c>
    </row>
    <row r="20" spans="1:11" ht="40.200000000000003" customHeight="1" x14ac:dyDescent="0.25">
      <c r="A20" s="470" t="s">
        <v>1140</v>
      </c>
      <c r="B20" s="487"/>
      <c r="C20" s="472" t="s">
        <v>1141</v>
      </c>
      <c r="D20" s="473" t="s">
        <v>1126</v>
      </c>
      <c r="E20" s="474" t="s">
        <v>1127</v>
      </c>
      <c r="F20" s="475"/>
      <c r="G20" s="476">
        <f>SUM(G21:G28)</f>
        <v>0</v>
      </c>
      <c r="H20" s="475"/>
      <c r="I20" s="477">
        <f>SUM(I21:I28)</f>
        <v>0</v>
      </c>
      <c r="J20" s="478"/>
      <c r="K20" s="488">
        <f>SUM(K21:K28)</f>
        <v>0</v>
      </c>
    </row>
    <row r="21" spans="1:11" ht="40.200000000000003" customHeight="1" x14ac:dyDescent="0.25">
      <c r="A21" s="480">
        <v>10</v>
      </c>
      <c r="B21" s="481">
        <v>3</v>
      </c>
      <c r="C21" s="490" t="s">
        <v>1142</v>
      </c>
      <c r="D21" s="483" t="s">
        <v>619</v>
      </c>
      <c r="E21" s="484">
        <v>54</v>
      </c>
      <c r="F21" s="500"/>
      <c r="G21" s="484">
        <f>F21*E21</f>
        <v>0</v>
      </c>
      <c r="H21" s="500"/>
      <c r="I21" s="484">
        <f>H21*E21</f>
        <v>0</v>
      </c>
      <c r="J21" s="485"/>
      <c r="K21" s="486">
        <f>I21+G21</f>
        <v>0</v>
      </c>
    </row>
    <row r="22" spans="1:11" ht="40.200000000000003" customHeight="1" x14ac:dyDescent="0.25">
      <c r="A22" s="480">
        <v>11</v>
      </c>
      <c r="B22" s="481">
        <v>3</v>
      </c>
      <c r="C22" s="490" t="s">
        <v>1143</v>
      </c>
      <c r="D22" s="483" t="s">
        <v>619</v>
      </c>
      <c r="E22" s="484">
        <v>9</v>
      </c>
      <c r="F22" s="500"/>
      <c r="G22" s="484">
        <f t="shared" ref="G22:G28" si="3">F22*E22</f>
        <v>0</v>
      </c>
      <c r="H22" s="500"/>
      <c r="I22" s="484">
        <f t="shared" ref="I22:I28" si="4">H22*E22</f>
        <v>0</v>
      </c>
      <c r="J22" s="485"/>
      <c r="K22" s="486">
        <f t="shared" ref="K22:K28" si="5">I22+G22</f>
        <v>0</v>
      </c>
    </row>
    <row r="23" spans="1:11" ht="40.200000000000003" customHeight="1" x14ac:dyDescent="0.25">
      <c r="A23" s="480">
        <v>12</v>
      </c>
      <c r="B23" s="481">
        <v>3</v>
      </c>
      <c r="C23" s="490" t="s">
        <v>1144</v>
      </c>
      <c r="D23" s="483" t="s">
        <v>619</v>
      </c>
      <c r="E23" s="484">
        <v>25</v>
      </c>
      <c r="F23" s="500"/>
      <c r="G23" s="484">
        <f t="shared" si="3"/>
        <v>0</v>
      </c>
      <c r="H23" s="500"/>
      <c r="I23" s="484">
        <f t="shared" si="4"/>
        <v>0</v>
      </c>
      <c r="J23" s="485"/>
      <c r="K23" s="486">
        <f t="shared" si="5"/>
        <v>0</v>
      </c>
    </row>
    <row r="24" spans="1:11" ht="40.200000000000003" customHeight="1" x14ac:dyDescent="0.25">
      <c r="A24" s="480">
        <v>13</v>
      </c>
      <c r="B24" s="481">
        <v>3</v>
      </c>
      <c r="C24" s="490" t="s">
        <v>1145</v>
      </c>
      <c r="D24" s="483" t="s">
        <v>619</v>
      </c>
      <c r="E24" s="484">
        <v>9</v>
      </c>
      <c r="F24" s="500"/>
      <c r="G24" s="484">
        <f t="shared" si="3"/>
        <v>0</v>
      </c>
      <c r="H24" s="500"/>
      <c r="I24" s="484">
        <f t="shared" si="4"/>
        <v>0</v>
      </c>
      <c r="J24" s="485"/>
      <c r="K24" s="486">
        <f t="shared" si="5"/>
        <v>0</v>
      </c>
    </row>
    <row r="25" spans="1:11" ht="40.200000000000003" customHeight="1" x14ac:dyDescent="0.25">
      <c r="A25" s="480">
        <v>14</v>
      </c>
      <c r="B25" s="481">
        <v>3</v>
      </c>
      <c r="C25" s="490" t="s">
        <v>1146</v>
      </c>
      <c r="D25" s="491" t="s">
        <v>619</v>
      </c>
      <c r="E25" s="492">
        <v>3</v>
      </c>
      <c r="F25" s="500"/>
      <c r="G25" s="484">
        <f t="shared" si="3"/>
        <v>0</v>
      </c>
      <c r="H25" s="500"/>
      <c r="I25" s="484">
        <f t="shared" si="4"/>
        <v>0</v>
      </c>
      <c r="J25" s="485"/>
      <c r="K25" s="486">
        <f t="shared" si="5"/>
        <v>0</v>
      </c>
    </row>
    <row r="26" spans="1:11" ht="40.200000000000003" customHeight="1" x14ac:dyDescent="0.25">
      <c r="A26" s="480">
        <v>15</v>
      </c>
      <c r="B26" s="481">
        <v>3</v>
      </c>
      <c r="C26" s="490" t="s">
        <v>1147</v>
      </c>
      <c r="D26" s="491" t="s">
        <v>619</v>
      </c>
      <c r="E26" s="484">
        <v>2</v>
      </c>
      <c r="F26" s="500"/>
      <c r="G26" s="484">
        <f t="shared" si="3"/>
        <v>0</v>
      </c>
      <c r="H26" s="500"/>
      <c r="I26" s="484">
        <f t="shared" si="4"/>
        <v>0</v>
      </c>
      <c r="J26" s="485"/>
      <c r="K26" s="486">
        <f t="shared" si="5"/>
        <v>0</v>
      </c>
    </row>
    <row r="27" spans="1:11" ht="40.200000000000003" customHeight="1" x14ac:dyDescent="0.25">
      <c r="A27" s="480">
        <v>16</v>
      </c>
      <c r="B27" s="481">
        <v>3</v>
      </c>
      <c r="C27" s="490" t="s">
        <v>1148</v>
      </c>
      <c r="D27" s="491" t="s">
        <v>619</v>
      </c>
      <c r="E27" s="492">
        <v>1</v>
      </c>
      <c r="F27" s="500"/>
      <c r="G27" s="484">
        <f t="shared" si="3"/>
        <v>0</v>
      </c>
      <c r="H27" s="500"/>
      <c r="I27" s="484">
        <f t="shared" si="4"/>
        <v>0</v>
      </c>
      <c r="J27" s="485"/>
      <c r="K27" s="486">
        <f t="shared" si="5"/>
        <v>0</v>
      </c>
    </row>
    <row r="28" spans="1:11" ht="40.200000000000003" customHeight="1" x14ac:dyDescent="0.25">
      <c r="A28" s="480">
        <v>17</v>
      </c>
      <c r="B28" s="481">
        <v>3</v>
      </c>
      <c r="C28" s="490" t="s">
        <v>1149</v>
      </c>
      <c r="D28" s="491" t="s">
        <v>619</v>
      </c>
      <c r="E28" s="492">
        <v>1</v>
      </c>
      <c r="F28" s="500"/>
      <c r="G28" s="484">
        <f t="shared" si="3"/>
        <v>0</v>
      </c>
      <c r="H28" s="500"/>
      <c r="I28" s="484">
        <f t="shared" si="4"/>
        <v>0</v>
      </c>
      <c r="J28" s="485"/>
      <c r="K28" s="486">
        <f t="shared" si="5"/>
        <v>0</v>
      </c>
    </row>
    <row r="29" spans="1:11" ht="40.200000000000003" customHeight="1" x14ac:dyDescent="0.25">
      <c r="A29" s="470" t="s">
        <v>1150</v>
      </c>
      <c r="B29" s="487"/>
      <c r="C29" s="472" t="s">
        <v>1151</v>
      </c>
      <c r="D29" s="473" t="s">
        <v>1126</v>
      </c>
      <c r="E29" s="474" t="s">
        <v>1127</v>
      </c>
      <c r="F29" s="475"/>
      <c r="G29" s="476">
        <f>SUM(G30:G34)</f>
        <v>0</v>
      </c>
      <c r="H29" s="475"/>
      <c r="I29" s="477">
        <f>SUM(I30:I34)</f>
        <v>0</v>
      </c>
      <c r="J29" s="478"/>
      <c r="K29" s="488">
        <f>SUM(K30:K34)</f>
        <v>0</v>
      </c>
    </row>
    <row r="30" spans="1:11" ht="40.200000000000003" customHeight="1" x14ac:dyDescent="0.25">
      <c r="A30" s="480">
        <v>18</v>
      </c>
      <c r="B30" s="481">
        <v>4</v>
      </c>
      <c r="C30" s="145" t="s">
        <v>1152</v>
      </c>
      <c r="D30" s="491" t="s">
        <v>619</v>
      </c>
      <c r="E30" s="492">
        <v>6</v>
      </c>
      <c r="F30" s="500"/>
      <c r="G30" s="484">
        <f>F30*E30</f>
        <v>0</v>
      </c>
      <c r="H30" s="500"/>
      <c r="I30" s="484">
        <f>H30*E30</f>
        <v>0</v>
      </c>
      <c r="J30" s="485"/>
      <c r="K30" s="486">
        <f>I30+G30</f>
        <v>0</v>
      </c>
    </row>
    <row r="31" spans="1:11" ht="40.200000000000003" customHeight="1" x14ac:dyDescent="0.25">
      <c r="A31" s="480">
        <v>19</v>
      </c>
      <c r="B31" s="481">
        <v>4</v>
      </c>
      <c r="C31" s="490" t="s">
        <v>1153</v>
      </c>
      <c r="D31" s="491" t="s">
        <v>619</v>
      </c>
      <c r="E31" s="492">
        <v>6</v>
      </c>
      <c r="F31" s="500"/>
      <c r="G31" s="484">
        <f t="shared" ref="G31:G34" si="6">F31*E31</f>
        <v>0</v>
      </c>
      <c r="H31" s="500"/>
      <c r="I31" s="484">
        <f t="shared" ref="I31:I34" si="7">H31*E31</f>
        <v>0</v>
      </c>
      <c r="J31" s="485"/>
      <c r="K31" s="486">
        <f t="shared" ref="K31:K34" si="8">I31+G31</f>
        <v>0</v>
      </c>
    </row>
    <row r="32" spans="1:11" ht="40.200000000000003" customHeight="1" x14ac:dyDescent="0.25">
      <c r="A32" s="480">
        <v>20</v>
      </c>
      <c r="B32" s="481">
        <v>4</v>
      </c>
      <c r="C32" s="145" t="s">
        <v>1154</v>
      </c>
      <c r="D32" s="491" t="s">
        <v>619</v>
      </c>
      <c r="E32" s="492">
        <v>5</v>
      </c>
      <c r="F32" s="500"/>
      <c r="G32" s="484">
        <f t="shared" si="6"/>
        <v>0</v>
      </c>
      <c r="H32" s="500"/>
      <c r="I32" s="484">
        <f t="shared" si="7"/>
        <v>0</v>
      </c>
      <c r="J32" s="485"/>
      <c r="K32" s="486">
        <f t="shared" si="8"/>
        <v>0</v>
      </c>
    </row>
    <row r="33" spans="1:11" ht="40.200000000000003" customHeight="1" x14ac:dyDescent="0.25">
      <c r="A33" s="480">
        <v>21</v>
      </c>
      <c r="B33" s="481">
        <v>4</v>
      </c>
      <c r="C33" s="490" t="s">
        <v>1155</v>
      </c>
      <c r="D33" s="491" t="s">
        <v>619</v>
      </c>
      <c r="E33" s="492">
        <v>1</v>
      </c>
      <c r="F33" s="500"/>
      <c r="G33" s="484">
        <f t="shared" si="6"/>
        <v>0</v>
      </c>
      <c r="H33" s="500"/>
      <c r="I33" s="484">
        <f t="shared" si="7"/>
        <v>0</v>
      </c>
      <c r="J33" s="485"/>
      <c r="K33" s="486">
        <f t="shared" si="8"/>
        <v>0</v>
      </c>
    </row>
    <row r="34" spans="1:11" ht="40.200000000000003" customHeight="1" x14ac:dyDescent="0.25">
      <c r="A34" s="480">
        <v>22</v>
      </c>
      <c r="B34" s="481">
        <v>4</v>
      </c>
      <c r="C34" s="490" t="s">
        <v>1156</v>
      </c>
      <c r="D34" s="491" t="s">
        <v>619</v>
      </c>
      <c r="E34" s="492">
        <v>6</v>
      </c>
      <c r="F34" s="500"/>
      <c r="G34" s="484">
        <f t="shared" si="6"/>
        <v>0</v>
      </c>
      <c r="H34" s="500"/>
      <c r="I34" s="484">
        <f t="shared" si="7"/>
        <v>0</v>
      </c>
      <c r="J34" s="485"/>
      <c r="K34" s="486">
        <f t="shared" si="8"/>
        <v>0</v>
      </c>
    </row>
    <row r="35" spans="1:11" ht="40.200000000000003" customHeight="1" x14ac:dyDescent="0.25">
      <c r="A35" s="470" t="s">
        <v>1157</v>
      </c>
      <c r="B35" s="487"/>
      <c r="C35" s="472" t="s">
        <v>1158</v>
      </c>
      <c r="D35" s="473" t="s">
        <v>1126</v>
      </c>
      <c r="E35" s="474" t="s">
        <v>1127</v>
      </c>
      <c r="F35" s="475"/>
      <c r="G35" s="476">
        <f>SUM(G36:G39)</f>
        <v>0</v>
      </c>
      <c r="H35" s="475"/>
      <c r="I35" s="477">
        <f>SUM(I36:I39)</f>
        <v>0</v>
      </c>
      <c r="J35" s="478"/>
      <c r="K35" s="488">
        <f>SUM(K36:K39)</f>
        <v>0</v>
      </c>
    </row>
    <row r="36" spans="1:11" ht="40.200000000000003" customHeight="1" x14ac:dyDescent="0.25">
      <c r="A36" s="480">
        <v>23</v>
      </c>
      <c r="B36" s="481">
        <v>5</v>
      </c>
      <c r="C36" s="482" t="s">
        <v>1159</v>
      </c>
      <c r="D36" s="483" t="s">
        <v>1132</v>
      </c>
      <c r="E36" s="484">
        <v>6</v>
      </c>
      <c r="F36" s="500"/>
      <c r="G36" s="484">
        <f>F36*E36</f>
        <v>0</v>
      </c>
      <c r="H36" s="500"/>
      <c r="I36" s="484">
        <f>H36*E36</f>
        <v>0</v>
      </c>
      <c r="J36" s="485"/>
      <c r="K36" s="486">
        <f>I36+G36</f>
        <v>0</v>
      </c>
    </row>
    <row r="37" spans="1:11" ht="40.200000000000003" customHeight="1" x14ac:dyDescent="0.25">
      <c r="A37" s="480">
        <v>24</v>
      </c>
      <c r="B37" s="481">
        <v>5</v>
      </c>
      <c r="C37" s="482" t="s">
        <v>1160</v>
      </c>
      <c r="D37" s="483" t="s">
        <v>1132</v>
      </c>
      <c r="E37" s="484">
        <v>95</v>
      </c>
      <c r="F37" s="500"/>
      <c r="G37" s="484">
        <f t="shared" ref="G37:G39" si="9">F37*E37</f>
        <v>0</v>
      </c>
      <c r="H37" s="500"/>
      <c r="I37" s="484">
        <f t="shared" ref="I37:I39" si="10">H37*E37</f>
        <v>0</v>
      </c>
      <c r="J37" s="485"/>
      <c r="K37" s="486">
        <f t="shared" ref="K37:K39" si="11">I37+G37</f>
        <v>0</v>
      </c>
    </row>
    <row r="38" spans="1:11" ht="40.200000000000003" customHeight="1" x14ac:dyDescent="0.25">
      <c r="A38" s="480">
        <v>25</v>
      </c>
      <c r="B38" s="481">
        <v>5</v>
      </c>
      <c r="C38" s="482" t="s">
        <v>1161</v>
      </c>
      <c r="D38" s="483" t="s">
        <v>619</v>
      </c>
      <c r="E38" s="484">
        <v>4</v>
      </c>
      <c r="F38" s="500"/>
      <c r="G38" s="484">
        <f t="shared" si="9"/>
        <v>0</v>
      </c>
      <c r="H38" s="500"/>
      <c r="I38" s="484">
        <f t="shared" si="10"/>
        <v>0</v>
      </c>
      <c r="J38" s="485"/>
      <c r="K38" s="486">
        <f t="shared" si="11"/>
        <v>0</v>
      </c>
    </row>
    <row r="39" spans="1:11" ht="40.200000000000003" customHeight="1" x14ac:dyDescent="0.25">
      <c r="A39" s="480">
        <v>25</v>
      </c>
      <c r="B39" s="481">
        <v>5</v>
      </c>
      <c r="C39" s="482" t="s">
        <v>1162</v>
      </c>
      <c r="D39" s="483" t="s">
        <v>178</v>
      </c>
      <c r="E39" s="484">
        <v>45</v>
      </c>
      <c r="F39" s="500"/>
      <c r="G39" s="484">
        <f t="shared" si="9"/>
        <v>0</v>
      </c>
      <c r="H39" s="500"/>
      <c r="I39" s="484">
        <f t="shared" si="10"/>
        <v>0</v>
      </c>
      <c r="J39" s="485"/>
      <c r="K39" s="486">
        <f t="shared" si="11"/>
        <v>0</v>
      </c>
    </row>
    <row r="40" spans="1:11" ht="40.200000000000003" customHeight="1" x14ac:dyDescent="0.25">
      <c r="A40" s="470" t="s">
        <v>1163</v>
      </c>
      <c r="B40" s="487"/>
      <c r="C40" s="472" t="s">
        <v>1252</v>
      </c>
      <c r="D40" s="473" t="s">
        <v>1126</v>
      </c>
      <c r="E40" s="474" t="s">
        <v>1127</v>
      </c>
      <c r="F40" s="475"/>
      <c r="G40" s="476">
        <f>SUM(G41:G43)</f>
        <v>0</v>
      </c>
      <c r="H40" s="475"/>
      <c r="I40" s="477">
        <f>SUM(I41:I43)</f>
        <v>0</v>
      </c>
      <c r="J40" s="478"/>
      <c r="K40" s="488">
        <f>SUM(K41:K43)</f>
        <v>0</v>
      </c>
    </row>
    <row r="41" spans="1:11" ht="40.200000000000003" customHeight="1" x14ac:dyDescent="0.25">
      <c r="A41" s="480">
        <v>26</v>
      </c>
      <c r="B41" s="481">
        <v>6</v>
      </c>
      <c r="C41" s="482" t="s">
        <v>1226</v>
      </c>
      <c r="D41" s="483" t="s">
        <v>619</v>
      </c>
      <c r="E41" s="484">
        <v>2</v>
      </c>
      <c r="F41" s="484"/>
      <c r="G41" s="484">
        <f>F41*E41</f>
        <v>0</v>
      </c>
      <c r="H41" s="501"/>
      <c r="I41" s="484">
        <f>H41*E41</f>
        <v>0</v>
      </c>
      <c r="J41" s="485"/>
      <c r="K41" s="486">
        <f>I41+G41</f>
        <v>0</v>
      </c>
    </row>
    <row r="42" spans="1:11" ht="40.200000000000003" customHeight="1" x14ac:dyDescent="0.25">
      <c r="A42" s="480">
        <v>27</v>
      </c>
      <c r="B42" s="481">
        <v>6</v>
      </c>
      <c r="C42" s="482" t="s">
        <v>1227</v>
      </c>
      <c r="D42" s="483" t="s">
        <v>619</v>
      </c>
      <c r="E42" s="484">
        <v>1</v>
      </c>
      <c r="F42" s="484"/>
      <c r="G42" s="484">
        <f t="shared" ref="G42:G43" si="12">F42*E42</f>
        <v>0</v>
      </c>
      <c r="H42" s="501"/>
      <c r="I42" s="484">
        <f t="shared" ref="I42:I43" si="13">H42*E42</f>
        <v>0</v>
      </c>
      <c r="J42" s="485"/>
      <c r="K42" s="486">
        <f t="shared" ref="K42:K43" si="14">I42+G42</f>
        <v>0</v>
      </c>
    </row>
    <row r="43" spans="1:11" ht="40.200000000000003" customHeight="1" x14ac:dyDescent="0.25">
      <c r="A43" s="480">
        <v>28</v>
      </c>
      <c r="B43" s="481">
        <v>6</v>
      </c>
      <c r="C43" s="482" t="s">
        <v>1228</v>
      </c>
      <c r="D43" s="483" t="s">
        <v>619</v>
      </c>
      <c r="E43" s="484">
        <v>2</v>
      </c>
      <c r="F43" s="484"/>
      <c r="G43" s="484">
        <f t="shared" si="12"/>
        <v>0</v>
      </c>
      <c r="H43" s="501"/>
      <c r="I43" s="484">
        <f t="shared" si="13"/>
        <v>0</v>
      </c>
      <c r="J43" s="485"/>
      <c r="K43" s="486">
        <f t="shared" si="14"/>
        <v>0</v>
      </c>
    </row>
    <row r="44" spans="1:11" ht="40.200000000000003" customHeight="1" x14ac:dyDescent="0.25">
      <c r="A44" s="470" t="s">
        <v>1164</v>
      </c>
      <c r="B44" s="487"/>
      <c r="C44" s="472" t="s">
        <v>1165</v>
      </c>
      <c r="D44" s="473" t="s">
        <v>1126</v>
      </c>
      <c r="E44" s="474" t="s">
        <v>1127</v>
      </c>
      <c r="F44" s="475"/>
      <c r="G44" s="476">
        <f>SUM(G45:G50)</f>
        <v>0</v>
      </c>
      <c r="H44" s="475"/>
      <c r="I44" s="477">
        <f>SUM(I45:I50)</f>
        <v>0</v>
      </c>
      <c r="J44" s="478"/>
      <c r="K44" s="488">
        <f>SUM(K45:K50)</f>
        <v>0</v>
      </c>
    </row>
    <row r="45" spans="1:11" ht="40.200000000000003" customHeight="1" x14ac:dyDescent="0.25">
      <c r="A45" s="480">
        <v>28</v>
      </c>
      <c r="B45" s="481">
        <v>7</v>
      </c>
      <c r="C45" s="482" t="s">
        <v>1166</v>
      </c>
      <c r="D45" s="483" t="s">
        <v>726</v>
      </c>
      <c r="E45" s="484">
        <v>1</v>
      </c>
      <c r="F45" s="501"/>
      <c r="G45" s="484">
        <f>F45*E45</f>
        <v>0</v>
      </c>
      <c r="H45" s="484"/>
      <c r="I45" s="484">
        <f>H45*E45</f>
        <v>0</v>
      </c>
      <c r="J45" s="485"/>
      <c r="K45" s="486">
        <f>I45+G45</f>
        <v>0</v>
      </c>
    </row>
    <row r="46" spans="1:11" ht="40.200000000000003" customHeight="1" x14ac:dyDescent="0.25">
      <c r="A46" s="480">
        <v>29</v>
      </c>
      <c r="B46" s="481">
        <v>7</v>
      </c>
      <c r="C46" s="482" t="s">
        <v>1167</v>
      </c>
      <c r="D46" s="483" t="s">
        <v>726</v>
      </c>
      <c r="E46" s="484">
        <v>1</v>
      </c>
      <c r="F46" s="501"/>
      <c r="G46" s="484">
        <f t="shared" ref="G46:G50" si="15">F46*E46</f>
        <v>0</v>
      </c>
      <c r="H46" s="484"/>
      <c r="I46" s="484">
        <f t="shared" ref="I46:I50" si="16">H46*E46</f>
        <v>0</v>
      </c>
      <c r="J46" s="485"/>
      <c r="K46" s="486">
        <f t="shared" ref="K46:K50" si="17">I46+G46</f>
        <v>0</v>
      </c>
    </row>
    <row r="47" spans="1:11" ht="40.200000000000003" customHeight="1" x14ac:dyDescent="0.25">
      <c r="A47" s="480">
        <v>30</v>
      </c>
      <c r="B47" s="481">
        <v>7</v>
      </c>
      <c r="C47" s="482" t="s">
        <v>1168</v>
      </c>
      <c r="D47" s="483" t="s">
        <v>726</v>
      </c>
      <c r="E47" s="484">
        <v>1</v>
      </c>
      <c r="F47" s="501"/>
      <c r="G47" s="484">
        <f t="shared" si="15"/>
        <v>0</v>
      </c>
      <c r="H47" s="484"/>
      <c r="I47" s="484">
        <f t="shared" si="16"/>
        <v>0</v>
      </c>
      <c r="J47" s="485"/>
      <c r="K47" s="486">
        <f t="shared" si="17"/>
        <v>0</v>
      </c>
    </row>
    <row r="48" spans="1:11" ht="40.200000000000003" customHeight="1" x14ac:dyDescent="0.25">
      <c r="A48" s="480">
        <v>31</v>
      </c>
      <c r="B48" s="481">
        <v>7</v>
      </c>
      <c r="C48" s="482" t="s">
        <v>1169</v>
      </c>
      <c r="D48" s="483" t="s">
        <v>726</v>
      </c>
      <c r="E48" s="484">
        <v>1</v>
      </c>
      <c r="F48" s="501"/>
      <c r="G48" s="484">
        <f t="shared" si="15"/>
        <v>0</v>
      </c>
      <c r="H48" s="484"/>
      <c r="I48" s="484">
        <f t="shared" si="16"/>
        <v>0</v>
      </c>
      <c r="J48" s="485"/>
      <c r="K48" s="486">
        <f t="shared" si="17"/>
        <v>0</v>
      </c>
    </row>
    <row r="49" spans="1:11" ht="40.200000000000003" customHeight="1" x14ac:dyDescent="0.25">
      <c r="A49" s="480">
        <v>32</v>
      </c>
      <c r="B49" s="481">
        <v>7</v>
      </c>
      <c r="C49" s="482" t="s">
        <v>1170</v>
      </c>
      <c r="D49" s="483" t="s">
        <v>726</v>
      </c>
      <c r="E49" s="484">
        <v>1</v>
      </c>
      <c r="F49" s="501"/>
      <c r="G49" s="484">
        <f t="shared" si="15"/>
        <v>0</v>
      </c>
      <c r="H49" s="484"/>
      <c r="I49" s="484">
        <f t="shared" si="16"/>
        <v>0</v>
      </c>
      <c r="J49" s="485"/>
      <c r="K49" s="486">
        <f t="shared" si="17"/>
        <v>0</v>
      </c>
    </row>
    <row r="50" spans="1:11" ht="40.200000000000003" customHeight="1" thickBot="1" x14ac:dyDescent="0.3">
      <c r="A50" s="493">
        <v>33</v>
      </c>
      <c r="B50" s="494">
        <v>7</v>
      </c>
      <c r="C50" s="495" t="s">
        <v>1171</v>
      </c>
      <c r="D50" s="496" t="s">
        <v>726</v>
      </c>
      <c r="E50" s="497">
        <v>1</v>
      </c>
      <c r="F50" s="502"/>
      <c r="G50" s="497">
        <f t="shared" si="15"/>
        <v>0</v>
      </c>
      <c r="H50" s="497"/>
      <c r="I50" s="497">
        <f t="shared" si="16"/>
        <v>0</v>
      </c>
      <c r="J50" s="498"/>
      <c r="K50" s="499">
        <f t="shared" si="17"/>
        <v>0</v>
      </c>
    </row>
  </sheetData>
  <sheetProtection algorithmName="SHA-512" hashValue="MFu8rPwEqWsKVBuWKwac0ayEl+/XTyspyFBmHl+SyWTA0k6kKMQI5GBwx/tIheRTGTdKB8Plt7cxPebPb2mQ5Q==" saltValue="E2AqEGZhE/3BC6/g5QJPYg==" spinCount="100000" sheet="1" objects="1" scenarios="1"/>
  <conditionalFormatting sqref="A9 A11:A19 A21:A28 A30:A34 A36:A39 A41:A43 A45:A50">
    <cfRule type="expression" dxfId="5" priority="3">
      <formula>$E9&gt;0</formula>
    </cfRule>
  </conditionalFormatting>
  <conditionalFormatting sqref="A9:B9">
    <cfRule type="containsBlanks" dxfId="4" priority="2">
      <formula>LEN(TRIM(A9))=0</formula>
    </cfRule>
  </conditionalFormatting>
  <conditionalFormatting sqref="A11:B19 A21:B28 A30:B34 A36:B39 A41:B43 A45:B50">
    <cfRule type="containsBlanks" dxfId="3" priority="1">
      <formula>LEN(TRIM(A11))=0</formula>
    </cfRule>
  </conditionalFormatting>
  <conditionalFormatting sqref="C3:C4">
    <cfRule type="cellIs" dxfId="2" priority="6" operator="equal">
      <formula>0</formula>
    </cfRule>
  </conditionalFormatting>
  <conditionalFormatting sqref="D8:D50">
    <cfRule type="containsBlanks" dxfId="1" priority="4">
      <formula>LEN(TRIM(D8))=0</formula>
    </cfRule>
  </conditionalFormatting>
  <conditionalFormatting sqref="K3">
    <cfRule type="expression" dxfId="0" priority="5">
      <formula>$K$4&lt;$K$2</formula>
    </cfRule>
  </conditionalFormatting>
  <pageMargins left="0.7" right="0.7" top="0.78740157499999996" bottom="0.78740157499999996" header="0.3" footer="0.3"/>
  <pageSetup paperSize="9" scale="80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739"/>
  <sheetViews>
    <sheetView topLeftCell="A91" zoomScaleNormal="100" zoomScaleSheetLayoutView="100" workbookViewId="0">
      <selection activeCell="F126" sqref="F126"/>
    </sheetView>
  </sheetViews>
  <sheetFormatPr defaultColWidth="10" defaultRowHeight="13.2" x14ac:dyDescent="0.25"/>
  <cols>
    <col min="1" max="1" width="6.6640625" style="188" customWidth="1"/>
    <col min="2" max="2" width="12" style="188" customWidth="1"/>
    <col min="3" max="3" width="59.5546875" style="188" customWidth="1"/>
    <col min="4" max="4" width="3.88671875" style="189" customWidth="1"/>
    <col min="5" max="5" width="7.88671875" style="190" customWidth="1"/>
    <col min="6" max="6" width="12.44140625" style="191" customWidth="1"/>
    <col min="7" max="7" width="13.109375" style="190" customWidth="1"/>
    <col min="8" max="8" width="7.33203125" style="192" customWidth="1"/>
    <col min="9" max="9" width="12" style="193" customWidth="1"/>
    <col min="10" max="12" width="10" style="194"/>
    <col min="13" max="13" width="58" style="194" customWidth="1"/>
    <col min="14" max="256" width="10" style="194"/>
    <col min="257" max="257" width="6.6640625" style="194" customWidth="1"/>
    <col min="258" max="258" width="12" style="194" customWidth="1"/>
    <col min="259" max="259" width="59.5546875" style="194" customWidth="1"/>
    <col min="260" max="260" width="3.88671875" style="194" customWidth="1"/>
    <col min="261" max="261" width="7.88671875" style="194" customWidth="1"/>
    <col min="262" max="262" width="12.44140625" style="194" customWidth="1"/>
    <col min="263" max="263" width="13.109375" style="194" customWidth="1"/>
    <col min="264" max="264" width="7.33203125" style="194" customWidth="1"/>
    <col min="265" max="265" width="12" style="194" customWidth="1"/>
    <col min="266" max="268" width="10" style="194"/>
    <col min="269" max="269" width="58" style="194" customWidth="1"/>
    <col min="270" max="512" width="10" style="194"/>
    <col min="513" max="513" width="6.6640625" style="194" customWidth="1"/>
    <col min="514" max="514" width="12" style="194" customWidth="1"/>
    <col min="515" max="515" width="59.5546875" style="194" customWidth="1"/>
    <col min="516" max="516" width="3.88671875" style="194" customWidth="1"/>
    <col min="517" max="517" width="7.88671875" style="194" customWidth="1"/>
    <col min="518" max="518" width="12.44140625" style="194" customWidth="1"/>
    <col min="519" max="519" width="13.109375" style="194" customWidth="1"/>
    <col min="520" max="520" width="7.33203125" style="194" customWidth="1"/>
    <col min="521" max="521" width="12" style="194" customWidth="1"/>
    <col min="522" max="524" width="10" style="194"/>
    <col min="525" max="525" width="58" style="194" customWidth="1"/>
    <col min="526" max="768" width="10" style="194"/>
    <col min="769" max="769" width="6.6640625" style="194" customWidth="1"/>
    <col min="770" max="770" width="12" style="194" customWidth="1"/>
    <col min="771" max="771" width="59.5546875" style="194" customWidth="1"/>
    <col min="772" max="772" width="3.88671875" style="194" customWidth="1"/>
    <col min="773" max="773" width="7.88671875" style="194" customWidth="1"/>
    <col min="774" max="774" width="12.44140625" style="194" customWidth="1"/>
    <col min="775" max="775" width="13.109375" style="194" customWidth="1"/>
    <col min="776" max="776" width="7.33203125" style="194" customWidth="1"/>
    <col min="777" max="777" width="12" style="194" customWidth="1"/>
    <col min="778" max="780" width="10" style="194"/>
    <col min="781" max="781" width="58" style="194" customWidth="1"/>
    <col min="782" max="1024" width="10" style="194"/>
    <col min="1025" max="1025" width="6.6640625" style="194" customWidth="1"/>
    <col min="1026" max="1026" width="12" style="194" customWidth="1"/>
    <col min="1027" max="1027" width="59.5546875" style="194" customWidth="1"/>
    <col min="1028" max="1028" width="3.88671875" style="194" customWidth="1"/>
    <col min="1029" max="1029" width="7.88671875" style="194" customWidth="1"/>
    <col min="1030" max="1030" width="12.44140625" style="194" customWidth="1"/>
    <col min="1031" max="1031" width="13.109375" style="194" customWidth="1"/>
    <col min="1032" max="1032" width="7.33203125" style="194" customWidth="1"/>
    <col min="1033" max="1033" width="12" style="194" customWidth="1"/>
    <col min="1034" max="1036" width="10" style="194"/>
    <col min="1037" max="1037" width="58" style="194" customWidth="1"/>
    <col min="1038" max="1280" width="10" style="194"/>
    <col min="1281" max="1281" width="6.6640625" style="194" customWidth="1"/>
    <col min="1282" max="1282" width="12" style="194" customWidth="1"/>
    <col min="1283" max="1283" width="59.5546875" style="194" customWidth="1"/>
    <col min="1284" max="1284" width="3.88671875" style="194" customWidth="1"/>
    <col min="1285" max="1285" width="7.88671875" style="194" customWidth="1"/>
    <col min="1286" max="1286" width="12.44140625" style="194" customWidth="1"/>
    <col min="1287" max="1287" width="13.109375" style="194" customWidth="1"/>
    <col min="1288" max="1288" width="7.33203125" style="194" customWidth="1"/>
    <col min="1289" max="1289" width="12" style="194" customWidth="1"/>
    <col min="1290" max="1292" width="10" style="194"/>
    <col min="1293" max="1293" width="58" style="194" customWidth="1"/>
    <col min="1294" max="1536" width="10" style="194"/>
    <col min="1537" max="1537" width="6.6640625" style="194" customWidth="1"/>
    <col min="1538" max="1538" width="12" style="194" customWidth="1"/>
    <col min="1539" max="1539" width="59.5546875" style="194" customWidth="1"/>
    <col min="1540" max="1540" width="3.88671875" style="194" customWidth="1"/>
    <col min="1541" max="1541" width="7.88671875" style="194" customWidth="1"/>
    <col min="1542" max="1542" width="12.44140625" style="194" customWidth="1"/>
    <col min="1543" max="1543" width="13.109375" style="194" customWidth="1"/>
    <col min="1544" max="1544" width="7.33203125" style="194" customWidth="1"/>
    <col min="1545" max="1545" width="12" style="194" customWidth="1"/>
    <col min="1546" max="1548" width="10" style="194"/>
    <col min="1549" max="1549" width="58" style="194" customWidth="1"/>
    <col min="1550" max="1792" width="10" style="194"/>
    <col min="1793" max="1793" width="6.6640625" style="194" customWidth="1"/>
    <col min="1794" max="1794" width="12" style="194" customWidth="1"/>
    <col min="1795" max="1795" width="59.5546875" style="194" customWidth="1"/>
    <col min="1796" max="1796" width="3.88671875" style="194" customWidth="1"/>
    <col min="1797" max="1797" width="7.88671875" style="194" customWidth="1"/>
    <col min="1798" max="1798" width="12.44140625" style="194" customWidth="1"/>
    <col min="1799" max="1799" width="13.109375" style="194" customWidth="1"/>
    <col min="1800" max="1800" width="7.33203125" style="194" customWidth="1"/>
    <col min="1801" max="1801" width="12" style="194" customWidth="1"/>
    <col min="1802" max="1804" width="10" style="194"/>
    <col min="1805" max="1805" width="58" style="194" customWidth="1"/>
    <col min="1806" max="2048" width="10" style="194"/>
    <col min="2049" max="2049" width="6.6640625" style="194" customWidth="1"/>
    <col min="2050" max="2050" width="12" style="194" customWidth="1"/>
    <col min="2051" max="2051" width="59.5546875" style="194" customWidth="1"/>
    <col min="2052" max="2052" width="3.88671875" style="194" customWidth="1"/>
    <col min="2053" max="2053" width="7.88671875" style="194" customWidth="1"/>
    <col min="2054" max="2054" width="12.44140625" style="194" customWidth="1"/>
    <col min="2055" max="2055" width="13.109375" style="194" customWidth="1"/>
    <col min="2056" max="2056" width="7.33203125" style="194" customWidth="1"/>
    <col min="2057" max="2057" width="12" style="194" customWidth="1"/>
    <col min="2058" max="2060" width="10" style="194"/>
    <col min="2061" max="2061" width="58" style="194" customWidth="1"/>
    <col min="2062" max="2304" width="10" style="194"/>
    <col min="2305" max="2305" width="6.6640625" style="194" customWidth="1"/>
    <col min="2306" max="2306" width="12" style="194" customWidth="1"/>
    <col min="2307" max="2307" width="59.5546875" style="194" customWidth="1"/>
    <col min="2308" max="2308" width="3.88671875" style="194" customWidth="1"/>
    <col min="2309" max="2309" width="7.88671875" style="194" customWidth="1"/>
    <col min="2310" max="2310" width="12.44140625" style="194" customWidth="1"/>
    <col min="2311" max="2311" width="13.109375" style="194" customWidth="1"/>
    <col min="2312" max="2312" width="7.33203125" style="194" customWidth="1"/>
    <col min="2313" max="2313" width="12" style="194" customWidth="1"/>
    <col min="2314" max="2316" width="10" style="194"/>
    <col min="2317" max="2317" width="58" style="194" customWidth="1"/>
    <col min="2318" max="2560" width="10" style="194"/>
    <col min="2561" max="2561" width="6.6640625" style="194" customWidth="1"/>
    <col min="2562" max="2562" width="12" style="194" customWidth="1"/>
    <col min="2563" max="2563" width="59.5546875" style="194" customWidth="1"/>
    <col min="2564" max="2564" width="3.88671875" style="194" customWidth="1"/>
    <col min="2565" max="2565" width="7.88671875" style="194" customWidth="1"/>
    <col min="2566" max="2566" width="12.44140625" style="194" customWidth="1"/>
    <col min="2567" max="2567" width="13.109375" style="194" customWidth="1"/>
    <col min="2568" max="2568" width="7.33203125" style="194" customWidth="1"/>
    <col min="2569" max="2569" width="12" style="194" customWidth="1"/>
    <col min="2570" max="2572" width="10" style="194"/>
    <col min="2573" max="2573" width="58" style="194" customWidth="1"/>
    <col min="2574" max="2816" width="10" style="194"/>
    <col min="2817" max="2817" width="6.6640625" style="194" customWidth="1"/>
    <col min="2818" max="2818" width="12" style="194" customWidth="1"/>
    <col min="2819" max="2819" width="59.5546875" style="194" customWidth="1"/>
    <col min="2820" max="2820" width="3.88671875" style="194" customWidth="1"/>
    <col min="2821" max="2821" width="7.88671875" style="194" customWidth="1"/>
    <col min="2822" max="2822" width="12.44140625" style="194" customWidth="1"/>
    <col min="2823" max="2823" width="13.109375" style="194" customWidth="1"/>
    <col min="2824" max="2824" width="7.33203125" style="194" customWidth="1"/>
    <col min="2825" max="2825" width="12" style="194" customWidth="1"/>
    <col min="2826" max="2828" width="10" style="194"/>
    <col min="2829" max="2829" width="58" style="194" customWidth="1"/>
    <col min="2830" max="3072" width="10" style="194"/>
    <col min="3073" max="3073" width="6.6640625" style="194" customWidth="1"/>
    <col min="3074" max="3074" width="12" style="194" customWidth="1"/>
    <col min="3075" max="3075" width="59.5546875" style="194" customWidth="1"/>
    <col min="3076" max="3076" width="3.88671875" style="194" customWidth="1"/>
    <col min="3077" max="3077" width="7.88671875" style="194" customWidth="1"/>
    <col min="3078" max="3078" width="12.44140625" style="194" customWidth="1"/>
    <col min="3079" max="3079" width="13.109375" style="194" customWidth="1"/>
    <col min="3080" max="3080" width="7.33203125" style="194" customWidth="1"/>
    <col min="3081" max="3081" width="12" style="194" customWidth="1"/>
    <col min="3082" max="3084" width="10" style="194"/>
    <col min="3085" max="3085" width="58" style="194" customWidth="1"/>
    <col min="3086" max="3328" width="10" style="194"/>
    <col min="3329" max="3329" width="6.6640625" style="194" customWidth="1"/>
    <col min="3330" max="3330" width="12" style="194" customWidth="1"/>
    <col min="3331" max="3331" width="59.5546875" style="194" customWidth="1"/>
    <col min="3332" max="3332" width="3.88671875" style="194" customWidth="1"/>
    <col min="3333" max="3333" width="7.88671875" style="194" customWidth="1"/>
    <col min="3334" max="3334" width="12.44140625" style="194" customWidth="1"/>
    <col min="3335" max="3335" width="13.109375" style="194" customWidth="1"/>
    <col min="3336" max="3336" width="7.33203125" style="194" customWidth="1"/>
    <col min="3337" max="3337" width="12" style="194" customWidth="1"/>
    <col min="3338" max="3340" width="10" style="194"/>
    <col min="3341" max="3341" width="58" style="194" customWidth="1"/>
    <col min="3342" max="3584" width="10" style="194"/>
    <col min="3585" max="3585" width="6.6640625" style="194" customWidth="1"/>
    <col min="3586" max="3586" width="12" style="194" customWidth="1"/>
    <col min="3587" max="3587" width="59.5546875" style="194" customWidth="1"/>
    <col min="3588" max="3588" width="3.88671875" style="194" customWidth="1"/>
    <col min="3589" max="3589" width="7.88671875" style="194" customWidth="1"/>
    <col min="3590" max="3590" width="12.44140625" style="194" customWidth="1"/>
    <col min="3591" max="3591" width="13.109375" style="194" customWidth="1"/>
    <col min="3592" max="3592" width="7.33203125" style="194" customWidth="1"/>
    <col min="3593" max="3593" width="12" style="194" customWidth="1"/>
    <col min="3594" max="3596" width="10" style="194"/>
    <col min="3597" max="3597" width="58" style="194" customWidth="1"/>
    <col min="3598" max="3840" width="10" style="194"/>
    <col min="3841" max="3841" width="6.6640625" style="194" customWidth="1"/>
    <col min="3842" max="3842" width="12" style="194" customWidth="1"/>
    <col min="3843" max="3843" width="59.5546875" style="194" customWidth="1"/>
    <col min="3844" max="3844" width="3.88671875" style="194" customWidth="1"/>
    <col min="3845" max="3845" width="7.88671875" style="194" customWidth="1"/>
    <col min="3846" max="3846" width="12.44140625" style="194" customWidth="1"/>
    <col min="3847" max="3847" width="13.109375" style="194" customWidth="1"/>
    <col min="3848" max="3848" width="7.33203125" style="194" customWidth="1"/>
    <col min="3849" max="3849" width="12" style="194" customWidth="1"/>
    <col min="3850" max="3852" width="10" style="194"/>
    <col min="3853" max="3853" width="58" style="194" customWidth="1"/>
    <col min="3854" max="4096" width="10" style="194"/>
    <col min="4097" max="4097" width="6.6640625" style="194" customWidth="1"/>
    <col min="4098" max="4098" width="12" style="194" customWidth="1"/>
    <col min="4099" max="4099" width="59.5546875" style="194" customWidth="1"/>
    <col min="4100" max="4100" width="3.88671875" style="194" customWidth="1"/>
    <col min="4101" max="4101" width="7.88671875" style="194" customWidth="1"/>
    <col min="4102" max="4102" width="12.44140625" style="194" customWidth="1"/>
    <col min="4103" max="4103" width="13.109375" style="194" customWidth="1"/>
    <col min="4104" max="4104" width="7.33203125" style="194" customWidth="1"/>
    <col min="4105" max="4105" width="12" style="194" customWidth="1"/>
    <col min="4106" max="4108" width="10" style="194"/>
    <col min="4109" max="4109" width="58" style="194" customWidth="1"/>
    <col min="4110" max="4352" width="10" style="194"/>
    <col min="4353" max="4353" width="6.6640625" style="194" customWidth="1"/>
    <col min="4354" max="4354" width="12" style="194" customWidth="1"/>
    <col min="4355" max="4355" width="59.5546875" style="194" customWidth="1"/>
    <col min="4356" max="4356" width="3.88671875" style="194" customWidth="1"/>
    <col min="4357" max="4357" width="7.88671875" style="194" customWidth="1"/>
    <col min="4358" max="4358" width="12.44140625" style="194" customWidth="1"/>
    <col min="4359" max="4359" width="13.109375" style="194" customWidth="1"/>
    <col min="4360" max="4360" width="7.33203125" style="194" customWidth="1"/>
    <col min="4361" max="4361" width="12" style="194" customWidth="1"/>
    <col min="4362" max="4364" width="10" style="194"/>
    <col min="4365" max="4365" width="58" style="194" customWidth="1"/>
    <col min="4366" max="4608" width="10" style="194"/>
    <col min="4609" max="4609" width="6.6640625" style="194" customWidth="1"/>
    <col min="4610" max="4610" width="12" style="194" customWidth="1"/>
    <col min="4611" max="4611" width="59.5546875" style="194" customWidth="1"/>
    <col min="4612" max="4612" width="3.88671875" style="194" customWidth="1"/>
    <col min="4613" max="4613" width="7.88671875" style="194" customWidth="1"/>
    <col min="4614" max="4614" width="12.44140625" style="194" customWidth="1"/>
    <col min="4615" max="4615" width="13.109375" style="194" customWidth="1"/>
    <col min="4616" max="4616" width="7.33203125" style="194" customWidth="1"/>
    <col min="4617" max="4617" width="12" style="194" customWidth="1"/>
    <col min="4618" max="4620" width="10" style="194"/>
    <col min="4621" max="4621" width="58" style="194" customWidth="1"/>
    <col min="4622" max="4864" width="10" style="194"/>
    <col min="4865" max="4865" width="6.6640625" style="194" customWidth="1"/>
    <col min="4866" max="4866" width="12" style="194" customWidth="1"/>
    <col min="4867" max="4867" width="59.5546875" style="194" customWidth="1"/>
    <col min="4868" max="4868" width="3.88671875" style="194" customWidth="1"/>
    <col min="4869" max="4869" width="7.88671875" style="194" customWidth="1"/>
    <col min="4870" max="4870" width="12.44140625" style="194" customWidth="1"/>
    <col min="4871" max="4871" width="13.109375" style="194" customWidth="1"/>
    <col min="4872" max="4872" width="7.33203125" style="194" customWidth="1"/>
    <col min="4873" max="4873" width="12" style="194" customWidth="1"/>
    <col min="4874" max="4876" width="10" style="194"/>
    <col min="4877" max="4877" width="58" style="194" customWidth="1"/>
    <col min="4878" max="5120" width="10" style="194"/>
    <col min="5121" max="5121" width="6.6640625" style="194" customWidth="1"/>
    <col min="5122" max="5122" width="12" style="194" customWidth="1"/>
    <col min="5123" max="5123" width="59.5546875" style="194" customWidth="1"/>
    <col min="5124" max="5124" width="3.88671875" style="194" customWidth="1"/>
    <col min="5125" max="5125" width="7.88671875" style="194" customWidth="1"/>
    <col min="5126" max="5126" width="12.44140625" style="194" customWidth="1"/>
    <col min="5127" max="5127" width="13.109375" style="194" customWidth="1"/>
    <col min="5128" max="5128" width="7.33203125" style="194" customWidth="1"/>
    <col min="5129" max="5129" width="12" style="194" customWidth="1"/>
    <col min="5130" max="5132" width="10" style="194"/>
    <col min="5133" max="5133" width="58" style="194" customWidth="1"/>
    <col min="5134" max="5376" width="10" style="194"/>
    <col min="5377" max="5377" width="6.6640625" style="194" customWidth="1"/>
    <col min="5378" max="5378" width="12" style="194" customWidth="1"/>
    <col min="5379" max="5379" width="59.5546875" style="194" customWidth="1"/>
    <col min="5380" max="5380" width="3.88671875" style="194" customWidth="1"/>
    <col min="5381" max="5381" width="7.88671875" style="194" customWidth="1"/>
    <col min="5382" max="5382" width="12.44140625" style="194" customWidth="1"/>
    <col min="5383" max="5383" width="13.109375" style="194" customWidth="1"/>
    <col min="5384" max="5384" width="7.33203125" style="194" customWidth="1"/>
    <col min="5385" max="5385" width="12" style="194" customWidth="1"/>
    <col min="5386" max="5388" width="10" style="194"/>
    <col min="5389" max="5389" width="58" style="194" customWidth="1"/>
    <col min="5390" max="5632" width="10" style="194"/>
    <col min="5633" max="5633" width="6.6640625" style="194" customWidth="1"/>
    <col min="5634" max="5634" width="12" style="194" customWidth="1"/>
    <col min="5635" max="5635" width="59.5546875" style="194" customWidth="1"/>
    <col min="5636" max="5636" width="3.88671875" style="194" customWidth="1"/>
    <col min="5637" max="5637" width="7.88671875" style="194" customWidth="1"/>
    <col min="5638" max="5638" width="12.44140625" style="194" customWidth="1"/>
    <col min="5639" max="5639" width="13.109375" style="194" customWidth="1"/>
    <col min="5640" max="5640" width="7.33203125" style="194" customWidth="1"/>
    <col min="5641" max="5641" width="12" style="194" customWidth="1"/>
    <col min="5642" max="5644" width="10" style="194"/>
    <col min="5645" max="5645" width="58" style="194" customWidth="1"/>
    <col min="5646" max="5888" width="10" style="194"/>
    <col min="5889" max="5889" width="6.6640625" style="194" customWidth="1"/>
    <col min="5890" max="5890" width="12" style="194" customWidth="1"/>
    <col min="5891" max="5891" width="59.5546875" style="194" customWidth="1"/>
    <col min="5892" max="5892" width="3.88671875" style="194" customWidth="1"/>
    <col min="5893" max="5893" width="7.88671875" style="194" customWidth="1"/>
    <col min="5894" max="5894" width="12.44140625" style="194" customWidth="1"/>
    <col min="5895" max="5895" width="13.109375" style="194" customWidth="1"/>
    <col min="5896" max="5896" width="7.33203125" style="194" customWidth="1"/>
    <col min="5897" max="5897" width="12" style="194" customWidth="1"/>
    <col min="5898" max="5900" width="10" style="194"/>
    <col min="5901" max="5901" width="58" style="194" customWidth="1"/>
    <col min="5902" max="6144" width="10" style="194"/>
    <col min="6145" max="6145" width="6.6640625" style="194" customWidth="1"/>
    <col min="6146" max="6146" width="12" style="194" customWidth="1"/>
    <col min="6147" max="6147" width="59.5546875" style="194" customWidth="1"/>
    <col min="6148" max="6148" width="3.88671875" style="194" customWidth="1"/>
    <col min="6149" max="6149" width="7.88671875" style="194" customWidth="1"/>
    <col min="6150" max="6150" width="12.44140625" style="194" customWidth="1"/>
    <col min="6151" max="6151" width="13.109375" style="194" customWidth="1"/>
    <col min="6152" max="6152" width="7.33203125" style="194" customWidth="1"/>
    <col min="6153" max="6153" width="12" style="194" customWidth="1"/>
    <col min="6154" max="6156" width="10" style="194"/>
    <col min="6157" max="6157" width="58" style="194" customWidth="1"/>
    <col min="6158" max="6400" width="10" style="194"/>
    <col min="6401" max="6401" width="6.6640625" style="194" customWidth="1"/>
    <col min="6402" max="6402" width="12" style="194" customWidth="1"/>
    <col min="6403" max="6403" width="59.5546875" style="194" customWidth="1"/>
    <col min="6404" max="6404" width="3.88671875" style="194" customWidth="1"/>
    <col min="6405" max="6405" width="7.88671875" style="194" customWidth="1"/>
    <col min="6406" max="6406" width="12.44140625" style="194" customWidth="1"/>
    <col min="6407" max="6407" width="13.109375" style="194" customWidth="1"/>
    <col min="6408" max="6408" width="7.33203125" style="194" customWidth="1"/>
    <col min="6409" max="6409" width="12" style="194" customWidth="1"/>
    <col min="6410" max="6412" width="10" style="194"/>
    <col min="6413" max="6413" width="58" style="194" customWidth="1"/>
    <col min="6414" max="6656" width="10" style="194"/>
    <col min="6657" max="6657" width="6.6640625" style="194" customWidth="1"/>
    <col min="6658" max="6658" width="12" style="194" customWidth="1"/>
    <col min="6659" max="6659" width="59.5546875" style="194" customWidth="1"/>
    <col min="6660" max="6660" width="3.88671875" style="194" customWidth="1"/>
    <col min="6661" max="6661" width="7.88671875" style="194" customWidth="1"/>
    <col min="6662" max="6662" width="12.44140625" style="194" customWidth="1"/>
    <col min="6663" max="6663" width="13.109375" style="194" customWidth="1"/>
    <col min="6664" max="6664" width="7.33203125" style="194" customWidth="1"/>
    <col min="6665" max="6665" width="12" style="194" customWidth="1"/>
    <col min="6666" max="6668" width="10" style="194"/>
    <col min="6669" max="6669" width="58" style="194" customWidth="1"/>
    <col min="6670" max="6912" width="10" style="194"/>
    <col min="6913" max="6913" width="6.6640625" style="194" customWidth="1"/>
    <col min="6914" max="6914" width="12" style="194" customWidth="1"/>
    <col min="6915" max="6915" width="59.5546875" style="194" customWidth="1"/>
    <col min="6916" max="6916" width="3.88671875" style="194" customWidth="1"/>
    <col min="6917" max="6917" width="7.88671875" style="194" customWidth="1"/>
    <col min="6918" max="6918" width="12.44140625" style="194" customWidth="1"/>
    <col min="6919" max="6919" width="13.109375" style="194" customWidth="1"/>
    <col min="6920" max="6920" width="7.33203125" style="194" customWidth="1"/>
    <col min="6921" max="6921" width="12" style="194" customWidth="1"/>
    <col min="6922" max="6924" width="10" style="194"/>
    <col min="6925" max="6925" width="58" style="194" customWidth="1"/>
    <col min="6926" max="7168" width="10" style="194"/>
    <col min="7169" max="7169" width="6.6640625" style="194" customWidth="1"/>
    <col min="7170" max="7170" width="12" style="194" customWidth="1"/>
    <col min="7171" max="7171" width="59.5546875" style="194" customWidth="1"/>
    <col min="7172" max="7172" width="3.88671875" style="194" customWidth="1"/>
    <col min="7173" max="7173" width="7.88671875" style="194" customWidth="1"/>
    <col min="7174" max="7174" width="12.44140625" style="194" customWidth="1"/>
    <col min="7175" max="7175" width="13.109375" style="194" customWidth="1"/>
    <col min="7176" max="7176" width="7.33203125" style="194" customWidth="1"/>
    <col min="7177" max="7177" width="12" style="194" customWidth="1"/>
    <col min="7178" max="7180" width="10" style="194"/>
    <col min="7181" max="7181" width="58" style="194" customWidth="1"/>
    <col min="7182" max="7424" width="10" style="194"/>
    <col min="7425" max="7425" width="6.6640625" style="194" customWidth="1"/>
    <col min="7426" max="7426" width="12" style="194" customWidth="1"/>
    <col min="7427" max="7427" width="59.5546875" style="194" customWidth="1"/>
    <col min="7428" max="7428" width="3.88671875" style="194" customWidth="1"/>
    <col min="7429" max="7429" width="7.88671875" style="194" customWidth="1"/>
    <col min="7430" max="7430" width="12.44140625" style="194" customWidth="1"/>
    <col min="7431" max="7431" width="13.109375" style="194" customWidth="1"/>
    <col min="7432" max="7432" width="7.33203125" style="194" customWidth="1"/>
    <col min="7433" max="7433" width="12" style="194" customWidth="1"/>
    <col min="7434" max="7436" width="10" style="194"/>
    <col min="7437" max="7437" width="58" style="194" customWidth="1"/>
    <col min="7438" max="7680" width="10" style="194"/>
    <col min="7681" max="7681" width="6.6640625" style="194" customWidth="1"/>
    <col min="7682" max="7682" width="12" style="194" customWidth="1"/>
    <col min="7683" max="7683" width="59.5546875" style="194" customWidth="1"/>
    <col min="7684" max="7684" width="3.88671875" style="194" customWidth="1"/>
    <col min="7685" max="7685" width="7.88671875" style="194" customWidth="1"/>
    <col min="7686" max="7686" width="12.44140625" style="194" customWidth="1"/>
    <col min="7687" max="7687" width="13.109375" style="194" customWidth="1"/>
    <col min="7688" max="7688" width="7.33203125" style="194" customWidth="1"/>
    <col min="7689" max="7689" width="12" style="194" customWidth="1"/>
    <col min="7690" max="7692" width="10" style="194"/>
    <col min="7693" max="7693" width="58" style="194" customWidth="1"/>
    <col min="7694" max="7936" width="10" style="194"/>
    <col min="7937" max="7937" width="6.6640625" style="194" customWidth="1"/>
    <col min="7938" max="7938" width="12" style="194" customWidth="1"/>
    <col min="7939" max="7939" width="59.5546875" style="194" customWidth="1"/>
    <col min="7940" max="7940" width="3.88671875" style="194" customWidth="1"/>
    <col min="7941" max="7941" width="7.88671875" style="194" customWidth="1"/>
    <col min="7942" max="7942" width="12.44140625" style="194" customWidth="1"/>
    <col min="7943" max="7943" width="13.109375" style="194" customWidth="1"/>
    <col min="7944" max="7944" width="7.33203125" style="194" customWidth="1"/>
    <col min="7945" max="7945" width="12" style="194" customWidth="1"/>
    <col min="7946" max="7948" width="10" style="194"/>
    <col min="7949" max="7949" width="58" style="194" customWidth="1"/>
    <col min="7950" max="8192" width="10" style="194"/>
    <col min="8193" max="8193" width="6.6640625" style="194" customWidth="1"/>
    <col min="8194" max="8194" width="12" style="194" customWidth="1"/>
    <col min="8195" max="8195" width="59.5546875" style="194" customWidth="1"/>
    <col min="8196" max="8196" width="3.88671875" style="194" customWidth="1"/>
    <col min="8197" max="8197" width="7.88671875" style="194" customWidth="1"/>
    <col min="8198" max="8198" width="12.44140625" style="194" customWidth="1"/>
    <col min="8199" max="8199" width="13.109375" style="194" customWidth="1"/>
    <col min="8200" max="8200" width="7.33203125" style="194" customWidth="1"/>
    <col min="8201" max="8201" width="12" style="194" customWidth="1"/>
    <col min="8202" max="8204" width="10" style="194"/>
    <col min="8205" max="8205" width="58" style="194" customWidth="1"/>
    <col min="8206" max="8448" width="10" style="194"/>
    <col min="8449" max="8449" width="6.6640625" style="194" customWidth="1"/>
    <col min="8450" max="8450" width="12" style="194" customWidth="1"/>
    <col min="8451" max="8451" width="59.5546875" style="194" customWidth="1"/>
    <col min="8452" max="8452" width="3.88671875" style="194" customWidth="1"/>
    <col min="8453" max="8453" width="7.88671875" style="194" customWidth="1"/>
    <col min="8454" max="8454" width="12.44140625" style="194" customWidth="1"/>
    <col min="8455" max="8455" width="13.109375" style="194" customWidth="1"/>
    <col min="8456" max="8456" width="7.33203125" style="194" customWidth="1"/>
    <col min="8457" max="8457" width="12" style="194" customWidth="1"/>
    <col min="8458" max="8460" width="10" style="194"/>
    <col min="8461" max="8461" width="58" style="194" customWidth="1"/>
    <col min="8462" max="8704" width="10" style="194"/>
    <col min="8705" max="8705" width="6.6640625" style="194" customWidth="1"/>
    <col min="8706" max="8706" width="12" style="194" customWidth="1"/>
    <col min="8707" max="8707" width="59.5546875" style="194" customWidth="1"/>
    <col min="8708" max="8708" width="3.88671875" style="194" customWidth="1"/>
    <col min="8709" max="8709" width="7.88671875" style="194" customWidth="1"/>
    <col min="8710" max="8710" width="12.44140625" style="194" customWidth="1"/>
    <col min="8711" max="8711" width="13.109375" style="194" customWidth="1"/>
    <col min="8712" max="8712" width="7.33203125" style="194" customWidth="1"/>
    <col min="8713" max="8713" width="12" style="194" customWidth="1"/>
    <col min="8714" max="8716" width="10" style="194"/>
    <col min="8717" max="8717" width="58" style="194" customWidth="1"/>
    <col min="8718" max="8960" width="10" style="194"/>
    <col min="8961" max="8961" width="6.6640625" style="194" customWidth="1"/>
    <col min="8962" max="8962" width="12" style="194" customWidth="1"/>
    <col min="8963" max="8963" width="59.5546875" style="194" customWidth="1"/>
    <col min="8964" max="8964" width="3.88671875" style="194" customWidth="1"/>
    <col min="8965" max="8965" width="7.88671875" style="194" customWidth="1"/>
    <col min="8966" max="8966" width="12.44140625" style="194" customWidth="1"/>
    <col min="8967" max="8967" width="13.109375" style="194" customWidth="1"/>
    <col min="8968" max="8968" width="7.33203125" style="194" customWidth="1"/>
    <col min="8969" max="8969" width="12" style="194" customWidth="1"/>
    <col min="8970" max="8972" width="10" style="194"/>
    <col min="8973" max="8973" width="58" style="194" customWidth="1"/>
    <col min="8974" max="9216" width="10" style="194"/>
    <col min="9217" max="9217" width="6.6640625" style="194" customWidth="1"/>
    <col min="9218" max="9218" width="12" style="194" customWidth="1"/>
    <col min="9219" max="9219" width="59.5546875" style="194" customWidth="1"/>
    <col min="9220" max="9220" width="3.88671875" style="194" customWidth="1"/>
    <col min="9221" max="9221" width="7.88671875" style="194" customWidth="1"/>
    <col min="9222" max="9222" width="12.44140625" style="194" customWidth="1"/>
    <col min="9223" max="9223" width="13.109375" style="194" customWidth="1"/>
    <col min="9224" max="9224" width="7.33203125" style="194" customWidth="1"/>
    <col min="9225" max="9225" width="12" style="194" customWidth="1"/>
    <col min="9226" max="9228" width="10" style="194"/>
    <col min="9229" max="9229" width="58" style="194" customWidth="1"/>
    <col min="9230" max="9472" width="10" style="194"/>
    <col min="9473" max="9473" width="6.6640625" style="194" customWidth="1"/>
    <col min="9474" max="9474" width="12" style="194" customWidth="1"/>
    <col min="9475" max="9475" width="59.5546875" style="194" customWidth="1"/>
    <col min="9476" max="9476" width="3.88671875" style="194" customWidth="1"/>
    <col min="9477" max="9477" width="7.88671875" style="194" customWidth="1"/>
    <col min="9478" max="9478" width="12.44140625" style="194" customWidth="1"/>
    <col min="9479" max="9479" width="13.109375" style="194" customWidth="1"/>
    <col min="9480" max="9480" width="7.33203125" style="194" customWidth="1"/>
    <col min="9481" max="9481" width="12" style="194" customWidth="1"/>
    <col min="9482" max="9484" width="10" style="194"/>
    <col min="9485" max="9485" width="58" style="194" customWidth="1"/>
    <col min="9486" max="9728" width="10" style="194"/>
    <col min="9729" max="9729" width="6.6640625" style="194" customWidth="1"/>
    <col min="9730" max="9730" width="12" style="194" customWidth="1"/>
    <col min="9731" max="9731" width="59.5546875" style="194" customWidth="1"/>
    <col min="9732" max="9732" width="3.88671875" style="194" customWidth="1"/>
    <col min="9733" max="9733" width="7.88671875" style="194" customWidth="1"/>
    <col min="9734" max="9734" width="12.44140625" style="194" customWidth="1"/>
    <col min="9735" max="9735" width="13.109375" style="194" customWidth="1"/>
    <col min="9736" max="9736" width="7.33203125" style="194" customWidth="1"/>
    <col min="9737" max="9737" width="12" style="194" customWidth="1"/>
    <col min="9738" max="9740" width="10" style="194"/>
    <col min="9741" max="9741" width="58" style="194" customWidth="1"/>
    <col min="9742" max="9984" width="10" style="194"/>
    <col min="9985" max="9985" width="6.6640625" style="194" customWidth="1"/>
    <col min="9986" max="9986" width="12" style="194" customWidth="1"/>
    <col min="9987" max="9987" width="59.5546875" style="194" customWidth="1"/>
    <col min="9988" max="9988" width="3.88671875" style="194" customWidth="1"/>
    <col min="9989" max="9989" width="7.88671875" style="194" customWidth="1"/>
    <col min="9990" max="9990" width="12.44140625" style="194" customWidth="1"/>
    <col min="9991" max="9991" width="13.109375" style="194" customWidth="1"/>
    <col min="9992" max="9992" width="7.33203125" style="194" customWidth="1"/>
    <col min="9993" max="9993" width="12" style="194" customWidth="1"/>
    <col min="9994" max="9996" width="10" style="194"/>
    <col min="9997" max="9997" width="58" style="194" customWidth="1"/>
    <col min="9998" max="10240" width="10" style="194"/>
    <col min="10241" max="10241" width="6.6640625" style="194" customWidth="1"/>
    <col min="10242" max="10242" width="12" style="194" customWidth="1"/>
    <col min="10243" max="10243" width="59.5546875" style="194" customWidth="1"/>
    <col min="10244" max="10244" width="3.88671875" style="194" customWidth="1"/>
    <col min="10245" max="10245" width="7.88671875" style="194" customWidth="1"/>
    <col min="10246" max="10246" width="12.44140625" style="194" customWidth="1"/>
    <col min="10247" max="10247" width="13.109375" style="194" customWidth="1"/>
    <col min="10248" max="10248" width="7.33203125" style="194" customWidth="1"/>
    <col min="10249" max="10249" width="12" style="194" customWidth="1"/>
    <col min="10250" max="10252" width="10" style="194"/>
    <col min="10253" max="10253" width="58" style="194" customWidth="1"/>
    <col min="10254" max="10496" width="10" style="194"/>
    <col min="10497" max="10497" width="6.6640625" style="194" customWidth="1"/>
    <col min="10498" max="10498" width="12" style="194" customWidth="1"/>
    <col min="10499" max="10499" width="59.5546875" style="194" customWidth="1"/>
    <col min="10500" max="10500" width="3.88671875" style="194" customWidth="1"/>
    <col min="10501" max="10501" width="7.88671875" style="194" customWidth="1"/>
    <col min="10502" max="10502" width="12.44140625" style="194" customWidth="1"/>
    <col min="10503" max="10503" width="13.109375" style="194" customWidth="1"/>
    <col min="10504" max="10504" width="7.33203125" style="194" customWidth="1"/>
    <col min="10505" max="10505" width="12" style="194" customWidth="1"/>
    <col min="10506" max="10508" width="10" style="194"/>
    <col min="10509" max="10509" width="58" style="194" customWidth="1"/>
    <col min="10510" max="10752" width="10" style="194"/>
    <col min="10753" max="10753" width="6.6640625" style="194" customWidth="1"/>
    <col min="10754" max="10754" width="12" style="194" customWidth="1"/>
    <col min="10755" max="10755" width="59.5546875" style="194" customWidth="1"/>
    <col min="10756" max="10756" width="3.88671875" style="194" customWidth="1"/>
    <col min="10757" max="10757" width="7.88671875" style="194" customWidth="1"/>
    <col min="10758" max="10758" width="12.44140625" style="194" customWidth="1"/>
    <col min="10759" max="10759" width="13.109375" style="194" customWidth="1"/>
    <col min="10760" max="10760" width="7.33203125" style="194" customWidth="1"/>
    <col min="10761" max="10761" width="12" style="194" customWidth="1"/>
    <col min="10762" max="10764" width="10" style="194"/>
    <col min="10765" max="10765" width="58" style="194" customWidth="1"/>
    <col min="10766" max="11008" width="10" style="194"/>
    <col min="11009" max="11009" width="6.6640625" style="194" customWidth="1"/>
    <col min="11010" max="11010" width="12" style="194" customWidth="1"/>
    <col min="11011" max="11011" width="59.5546875" style="194" customWidth="1"/>
    <col min="11012" max="11012" width="3.88671875" style="194" customWidth="1"/>
    <col min="11013" max="11013" width="7.88671875" style="194" customWidth="1"/>
    <col min="11014" max="11014" width="12.44140625" style="194" customWidth="1"/>
    <col min="11015" max="11015" width="13.109375" style="194" customWidth="1"/>
    <col min="11016" max="11016" width="7.33203125" style="194" customWidth="1"/>
    <col min="11017" max="11017" width="12" style="194" customWidth="1"/>
    <col min="11018" max="11020" width="10" style="194"/>
    <col min="11021" max="11021" width="58" style="194" customWidth="1"/>
    <col min="11022" max="11264" width="10" style="194"/>
    <col min="11265" max="11265" width="6.6640625" style="194" customWidth="1"/>
    <col min="11266" max="11266" width="12" style="194" customWidth="1"/>
    <col min="11267" max="11267" width="59.5546875" style="194" customWidth="1"/>
    <col min="11268" max="11268" width="3.88671875" style="194" customWidth="1"/>
    <col min="11269" max="11269" width="7.88671875" style="194" customWidth="1"/>
    <col min="11270" max="11270" width="12.44140625" style="194" customWidth="1"/>
    <col min="11271" max="11271" width="13.109375" style="194" customWidth="1"/>
    <col min="11272" max="11272" width="7.33203125" style="194" customWidth="1"/>
    <col min="11273" max="11273" width="12" style="194" customWidth="1"/>
    <col min="11274" max="11276" width="10" style="194"/>
    <col min="11277" max="11277" width="58" style="194" customWidth="1"/>
    <col min="11278" max="11520" width="10" style="194"/>
    <col min="11521" max="11521" width="6.6640625" style="194" customWidth="1"/>
    <col min="11522" max="11522" width="12" style="194" customWidth="1"/>
    <col min="11523" max="11523" width="59.5546875" style="194" customWidth="1"/>
    <col min="11524" max="11524" width="3.88671875" style="194" customWidth="1"/>
    <col min="11525" max="11525" width="7.88671875" style="194" customWidth="1"/>
    <col min="11526" max="11526" width="12.44140625" style="194" customWidth="1"/>
    <col min="11527" max="11527" width="13.109375" style="194" customWidth="1"/>
    <col min="11528" max="11528" width="7.33203125" style="194" customWidth="1"/>
    <col min="11529" max="11529" width="12" style="194" customWidth="1"/>
    <col min="11530" max="11532" width="10" style="194"/>
    <col min="11533" max="11533" width="58" style="194" customWidth="1"/>
    <col min="11534" max="11776" width="10" style="194"/>
    <col min="11777" max="11777" width="6.6640625" style="194" customWidth="1"/>
    <col min="11778" max="11778" width="12" style="194" customWidth="1"/>
    <col min="11779" max="11779" width="59.5546875" style="194" customWidth="1"/>
    <col min="11780" max="11780" width="3.88671875" style="194" customWidth="1"/>
    <col min="11781" max="11781" width="7.88671875" style="194" customWidth="1"/>
    <col min="11782" max="11782" width="12.44140625" style="194" customWidth="1"/>
    <col min="11783" max="11783" width="13.109375" style="194" customWidth="1"/>
    <col min="11784" max="11784" width="7.33203125" style="194" customWidth="1"/>
    <col min="11785" max="11785" width="12" style="194" customWidth="1"/>
    <col min="11786" max="11788" width="10" style="194"/>
    <col min="11789" max="11789" width="58" style="194" customWidth="1"/>
    <col min="11790" max="12032" width="10" style="194"/>
    <col min="12033" max="12033" width="6.6640625" style="194" customWidth="1"/>
    <col min="12034" max="12034" width="12" style="194" customWidth="1"/>
    <col min="12035" max="12035" width="59.5546875" style="194" customWidth="1"/>
    <col min="12036" max="12036" width="3.88671875" style="194" customWidth="1"/>
    <col min="12037" max="12037" width="7.88671875" style="194" customWidth="1"/>
    <col min="12038" max="12038" width="12.44140625" style="194" customWidth="1"/>
    <col min="12039" max="12039" width="13.109375" style="194" customWidth="1"/>
    <col min="12040" max="12040" width="7.33203125" style="194" customWidth="1"/>
    <col min="12041" max="12041" width="12" style="194" customWidth="1"/>
    <col min="12042" max="12044" width="10" style="194"/>
    <col min="12045" max="12045" width="58" style="194" customWidth="1"/>
    <col min="12046" max="12288" width="10" style="194"/>
    <col min="12289" max="12289" width="6.6640625" style="194" customWidth="1"/>
    <col min="12290" max="12290" width="12" style="194" customWidth="1"/>
    <col min="12291" max="12291" width="59.5546875" style="194" customWidth="1"/>
    <col min="12292" max="12292" width="3.88671875" style="194" customWidth="1"/>
    <col min="12293" max="12293" width="7.88671875" style="194" customWidth="1"/>
    <col min="12294" max="12294" width="12.44140625" style="194" customWidth="1"/>
    <col min="12295" max="12295" width="13.109375" style="194" customWidth="1"/>
    <col min="12296" max="12296" width="7.33203125" style="194" customWidth="1"/>
    <col min="12297" max="12297" width="12" style="194" customWidth="1"/>
    <col min="12298" max="12300" width="10" style="194"/>
    <col min="12301" max="12301" width="58" style="194" customWidth="1"/>
    <col min="12302" max="12544" width="10" style="194"/>
    <col min="12545" max="12545" width="6.6640625" style="194" customWidth="1"/>
    <col min="12546" max="12546" width="12" style="194" customWidth="1"/>
    <col min="12547" max="12547" width="59.5546875" style="194" customWidth="1"/>
    <col min="12548" max="12548" width="3.88671875" style="194" customWidth="1"/>
    <col min="12549" max="12549" width="7.88671875" style="194" customWidth="1"/>
    <col min="12550" max="12550" width="12.44140625" style="194" customWidth="1"/>
    <col min="12551" max="12551" width="13.109375" style="194" customWidth="1"/>
    <col min="12552" max="12552" width="7.33203125" style="194" customWidth="1"/>
    <col min="12553" max="12553" width="12" style="194" customWidth="1"/>
    <col min="12554" max="12556" width="10" style="194"/>
    <col min="12557" max="12557" width="58" style="194" customWidth="1"/>
    <col min="12558" max="12800" width="10" style="194"/>
    <col min="12801" max="12801" width="6.6640625" style="194" customWidth="1"/>
    <col min="12802" max="12802" width="12" style="194" customWidth="1"/>
    <col min="12803" max="12803" width="59.5546875" style="194" customWidth="1"/>
    <col min="12804" max="12804" width="3.88671875" style="194" customWidth="1"/>
    <col min="12805" max="12805" width="7.88671875" style="194" customWidth="1"/>
    <col min="12806" max="12806" width="12.44140625" style="194" customWidth="1"/>
    <col min="12807" max="12807" width="13.109375" style="194" customWidth="1"/>
    <col min="12808" max="12808" width="7.33203125" style="194" customWidth="1"/>
    <col min="12809" max="12809" width="12" style="194" customWidth="1"/>
    <col min="12810" max="12812" width="10" style="194"/>
    <col min="12813" max="12813" width="58" style="194" customWidth="1"/>
    <col min="12814" max="13056" width="10" style="194"/>
    <col min="13057" max="13057" width="6.6640625" style="194" customWidth="1"/>
    <col min="13058" max="13058" width="12" style="194" customWidth="1"/>
    <col min="13059" max="13059" width="59.5546875" style="194" customWidth="1"/>
    <col min="13060" max="13060" width="3.88671875" style="194" customWidth="1"/>
    <col min="13061" max="13061" width="7.88671875" style="194" customWidth="1"/>
    <col min="13062" max="13062" width="12.44140625" style="194" customWidth="1"/>
    <col min="13063" max="13063" width="13.109375" style="194" customWidth="1"/>
    <col min="13064" max="13064" width="7.33203125" style="194" customWidth="1"/>
    <col min="13065" max="13065" width="12" style="194" customWidth="1"/>
    <col min="13066" max="13068" width="10" style="194"/>
    <col min="13069" max="13069" width="58" style="194" customWidth="1"/>
    <col min="13070" max="13312" width="10" style="194"/>
    <col min="13313" max="13313" width="6.6640625" style="194" customWidth="1"/>
    <col min="13314" max="13314" width="12" style="194" customWidth="1"/>
    <col min="13315" max="13315" width="59.5546875" style="194" customWidth="1"/>
    <col min="13316" max="13316" width="3.88671875" style="194" customWidth="1"/>
    <col min="13317" max="13317" width="7.88671875" style="194" customWidth="1"/>
    <col min="13318" max="13318" width="12.44140625" style="194" customWidth="1"/>
    <col min="13319" max="13319" width="13.109375" style="194" customWidth="1"/>
    <col min="13320" max="13320" width="7.33203125" style="194" customWidth="1"/>
    <col min="13321" max="13321" width="12" style="194" customWidth="1"/>
    <col min="13322" max="13324" width="10" style="194"/>
    <col min="13325" max="13325" width="58" style="194" customWidth="1"/>
    <col min="13326" max="13568" width="10" style="194"/>
    <col min="13569" max="13569" width="6.6640625" style="194" customWidth="1"/>
    <col min="13570" max="13570" width="12" style="194" customWidth="1"/>
    <col min="13571" max="13571" width="59.5546875" style="194" customWidth="1"/>
    <col min="13572" max="13572" width="3.88671875" style="194" customWidth="1"/>
    <col min="13573" max="13573" width="7.88671875" style="194" customWidth="1"/>
    <col min="13574" max="13574" width="12.44140625" style="194" customWidth="1"/>
    <col min="13575" max="13575" width="13.109375" style="194" customWidth="1"/>
    <col min="13576" max="13576" width="7.33203125" style="194" customWidth="1"/>
    <col min="13577" max="13577" width="12" style="194" customWidth="1"/>
    <col min="13578" max="13580" width="10" style="194"/>
    <col min="13581" max="13581" width="58" style="194" customWidth="1"/>
    <col min="13582" max="13824" width="10" style="194"/>
    <col min="13825" max="13825" width="6.6640625" style="194" customWidth="1"/>
    <col min="13826" max="13826" width="12" style="194" customWidth="1"/>
    <col min="13827" max="13827" width="59.5546875" style="194" customWidth="1"/>
    <col min="13828" max="13828" width="3.88671875" style="194" customWidth="1"/>
    <col min="13829" max="13829" width="7.88671875" style="194" customWidth="1"/>
    <col min="13830" max="13830" width="12.44140625" style="194" customWidth="1"/>
    <col min="13831" max="13831" width="13.109375" style="194" customWidth="1"/>
    <col min="13832" max="13832" width="7.33203125" style="194" customWidth="1"/>
    <col min="13833" max="13833" width="12" style="194" customWidth="1"/>
    <col min="13834" max="13836" width="10" style="194"/>
    <col min="13837" max="13837" width="58" style="194" customWidth="1"/>
    <col min="13838" max="14080" width="10" style="194"/>
    <col min="14081" max="14081" width="6.6640625" style="194" customWidth="1"/>
    <col min="14082" max="14082" width="12" style="194" customWidth="1"/>
    <col min="14083" max="14083" width="59.5546875" style="194" customWidth="1"/>
    <col min="14084" max="14084" width="3.88671875" style="194" customWidth="1"/>
    <col min="14085" max="14085" width="7.88671875" style="194" customWidth="1"/>
    <col min="14086" max="14086" width="12.44140625" style="194" customWidth="1"/>
    <col min="14087" max="14087" width="13.109375" style="194" customWidth="1"/>
    <col min="14088" max="14088" width="7.33203125" style="194" customWidth="1"/>
    <col min="14089" max="14089" width="12" style="194" customWidth="1"/>
    <col min="14090" max="14092" width="10" style="194"/>
    <col min="14093" max="14093" width="58" style="194" customWidth="1"/>
    <col min="14094" max="14336" width="10" style="194"/>
    <col min="14337" max="14337" width="6.6640625" style="194" customWidth="1"/>
    <col min="14338" max="14338" width="12" style="194" customWidth="1"/>
    <col min="14339" max="14339" width="59.5546875" style="194" customWidth="1"/>
    <col min="14340" max="14340" width="3.88671875" style="194" customWidth="1"/>
    <col min="14341" max="14341" width="7.88671875" style="194" customWidth="1"/>
    <col min="14342" max="14342" width="12.44140625" style="194" customWidth="1"/>
    <col min="14343" max="14343" width="13.109375" style="194" customWidth="1"/>
    <col min="14344" max="14344" width="7.33203125" style="194" customWidth="1"/>
    <col min="14345" max="14345" width="12" style="194" customWidth="1"/>
    <col min="14346" max="14348" width="10" style="194"/>
    <col min="14349" max="14349" width="58" style="194" customWidth="1"/>
    <col min="14350" max="14592" width="10" style="194"/>
    <col min="14593" max="14593" width="6.6640625" style="194" customWidth="1"/>
    <col min="14594" max="14594" width="12" style="194" customWidth="1"/>
    <col min="14595" max="14595" width="59.5546875" style="194" customWidth="1"/>
    <col min="14596" max="14596" width="3.88671875" style="194" customWidth="1"/>
    <col min="14597" max="14597" width="7.88671875" style="194" customWidth="1"/>
    <col min="14598" max="14598" width="12.44140625" style="194" customWidth="1"/>
    <col min="14599" max="14599" width="13.109375" style="194" customWidth="1"/>
    <col min="14600" max="14600" width="7.33203125" style="194" customWidth="1"/>
    <col min="14601" max="14601" width="12" style="194" customWidth="1"/>
    <col min="14602" max="14604" width="10" style="194"/>
    <col min="14605" max="14605" width="58" style="194" customWidth="1"/>
    <col min="14606" max="14848" width="10" style="194"/>
    <col min="14849" max="14849" width="6.6640625" style="194" customWidth="1"/>
    <col min="14850" max="14850" width="12" style="194" customWidth="1"/>
    <col min="14851" max="14851" width="59.5546875" style="194" customWidth="1"/>
    <col min="14852" max="14852" width="3.88671875" style="194" customWidth="1"/>
    <col min="14853" max="14853" width="7.88671875" style="194" customWidth="1"/>
    <col min="14854" max="14854" width="12.44140625" style="194" customWidth="1"/>
    <col min="14855" max="14855" width="13.109375" style="194" customWidth="1"/>
    <col min="14856" max="14856" width="7.33203125" style="194" customWidth="1"/>
    <col min="14857" max="14857" width="12" style="194" customWidth="1"/>
    <col min="14858" max="14860" width="10" style="194"/>
    <col min="14861" max="14861" width="58" style="194" customWidth="1"/>
    <col min="14862" max="15104" width="10" style="194"/>
    <col min="15105" max="15105" width="6.6640625" style="194" customWidth="1"/>
    <col min="15106" max="15106" width="12" style="194" customWidth="1"/>
    <col min="15107" max="15107" width="59.5546875" style="194" customWidth="1"/>
    <col min="15108" max="15108" width="3.88671875" style="194" customWidth="1"/>
    <col min="15109" max="15109" width="7.88671875" style="194" customWidth="1"/>
    <col min="15110" max="15110" width="12.44140625" style="194" customWidth="1"/>
    <col min="15111" max="15111" width="13.109375" style="194" customWidth="1"/>
    <col min="15112" max="15112" width="7.33203125" style="194" customWidth="1"/>
    <col min="15113" max="15113" width="12" style="194" customWidth="1"/>
    <col min="15114" max="15116" width="10" style="194"/>
    <col min="15117" max="15117" width="58" style="194" customWidth="1"/>
    <col min="15118" max="15360" width="10" style="194"/>
    <col min="15361" max="15361" width="6.6640625" style="194" customWidth="1"/>
    <col min="15362" max="15362" width="12" style="194" customWidth="1"/>
    <col min="15363" max="15363" width="59.5546875" style="194" customWidth="1"/>
    <col min="15364" max="15364" width="3.88671875" style="194" customWidth="1"/>
    <col min="15365" max="15365" width="7.88671875" style="194" customWidth="1"/>
    <col min="15366" max="15366" width="12.44140625" style="194" customWidth="1"/>
    <col min="15367" max="15367" width="13.109375" style="194" customWidth="1"/>
    <col min="15368" max="15368" width="7.33203125" style="194" customWidth="1"/>
    <col min="15369" max="15369" width="12" style="194" customWidth="1"/>
    <col min="15370" max="15372" width="10" style="194"/>
    <col min="15373" max="15373" width="58" style="194" customWidth="1"/>
    <col min="15374" max="15616" width="10" style="194"/>
    <col min="15617" max="15617" width="6.6640625" style="194" customWidth="1"/>
    <col min="15618" max="15618" width="12" style="194" customWidth="1"/>
    <col min="15619" max="15619" width="59.5546875" style="194" customWidth="1"/>
    <col min="15620" max="15620" width="3.88671875" style="194" customWidth="1"/>
    <col min="15621" max="15621" width="7.88671875" style="194" customWidth="1"/>
    <col min="15622" max="15622" width="12.44140625" style="194" customWidth="1"/>
    <col min="15623" max="15623" width="13.109375" style="194" customWidth="1"/>
    <col min="15624" max="15624" width="7.33203125" style="194" customWidth="1"/>
    <col min="15625" max="15625" width="12" style="194" customWidth="1"/>
    <col min="15626" max="15628" width="10" style="194"/>
    <col min="15629" max="15629" width="58" style="194" customWidth="1"/>
    <col min="15630" max="15872" width="10" style="194"/>
    <col min="15873" max="15873" width="6.6640625" style="194" customWidth="1"/>
    <col min="15874" max="15874" width="12" style="194" customWidth="1"/>
    <col min="15875" max="15875" width="59.5546875" style="194" customWidth="1"/>
    <col min="15876" max="15876" width="3.88671875" style="194" customWidth="1"/>
    <col min="15877" max="15877" width="7.88671875" style="194" customWidth="1"/>
    <col min="15878" max="15878" width="12.44140625" style="194" customWidth="1"/>
    <col min="15879" max="15879" width="13.109375" style="194" customWidth="1"/>
    <col min="15880" max="15880" width="7.33203125" style="194" customWidth="1"/>
    <col min="15881" max="15881" width="12" style="194" customWidth="1"/>
    <col min="15882" max="15884" width="10" style="194"/>
    <col min="15885" max="15885" width="58" style="194" customWidth="1"/>
    <col min="15886" max="16128" width="10" style="194"/>
    <col min="16129" max="16129" width="6.6640625" style="194" customWidth="1"/>
    <col min="16130" max="16130" width="12" style="194" customWidth="1"/>
    <col min="16131" max="16131" width="59.5546875" style="194" customWidth="1"/>
    <col min="16132" max="16132" width="3.88671875" style="194" customWidth="1"/>
    <col min="16133" max="16133" width="7.88671875" style="194" customWidth="1"/>
    <col min="16134" max="16134" width="12.44140625" style="194" customWidth="1"/>
    <col min="16135" max="16135" width="13.109375" style="194" customWidth="1"/>
    <col min="16136" max="16136" width="7.33203125" style="194" customWidth="1"/>
    <col min="16137" max="16137" width="12" style="194" customWidth="1"/>
    <col min="16138" max="16140" width="10" style="194"/>
    <col min="16141" max="16141" width="58" style="194" customWidth="1"/>
    <col min="16142" max="16384" width="10" style="194"/>
  </cols>
  <sheetData>
    <row r="1" spans="1:9" hidden="1" x14ac:dyDescent="0.25"/>
    <row r="2" spans="1:9" x14ac:dyDescent="0.25">
      <c r="A2" s="198"/>
      <c r="B2" s="198"/>
      <c r="C2" s="198"/>
      <c r="D2" s="198"/>
      <c r="E2" s="198"/>
      <c r="F2" s="198"/>
      <c r="G2" s="198"/>
      <c r="H2" s="198"/>
      <c r="I2" s="198"/>
    </row>
    <row r="3" spans="1:9" x14ac:dyDescent="0.25">
      <c r="A3" s="285"/>
      <c r="B3" s="286"/>
      <c r="C3" s="286" t="s">
        <v>580</v>
      </c>
      <c r="D3" s="287"/>
      <c r="E3" s="288"/>
      <c r="F3" s="289"/>
      <c r="G3" s="288"/>
      <c r="H3" s="290"/>
      <c r="I3" s="291"/>
    </row>
    <row r="4" spans="1:9" x14ac:dyDescent="0.25">
      <c r="A4" s="292"/>
      <c r="B4" s="293"/>
      <c r="C4" s="294" t="s">
        <v>581</v>
      </c>
      <c r="D4" s="295"/>
      <c r="E4" s="296"/>
      <c r="F4" s="297"/>
      <c r="G4" s="296"/>
      <c r="H4" s="298"/>
      <c r="I4" s="299"/>
    </row>
    <row r="5" spans="1:9" x14ac:dyDescent="0.25">
      <c r="A5" s="292"/>
      <c r="B5" s="293"/>
      <c r="C5" s="294" t="s">
        <v>582</v>
      </c>
      <c r="D5" s="295"/>
      <c r="E5" s="296"/>
      <c r="F5" s="297"/>
      <c r="G5" s="296"/>
      <c r="H5" s="298"/>
      <c r="I5" s="299"/>
    </row>
    <row r="6" spans="1:9" x14ac:dyDescent="0.25">
      <c r="A6" s="292"/>
      <c r="B6" s="293"/>
      <c r="C6" s="293"/>
      <c r="D6" s="295"/>
      <c r="E6" s="296"/>
      <c r="F6" s="297"/>
      <c r="G6" s="296"/>
      <c r="H6" s="298"/>
      <c r="I6" s="299"/>
    </row>
    <row r="7" spans="1:9" x14ac:dyDescent="0.25">
      <c r="A7" s="292"/>
      <c r="B7" s="293"/>
      <c r="C7" s="293" t="s">
        <v>583</v>
      </c>
      <c r="D7" s="295"/>
      <c r="E7" s="296"/>
      <c r="F7" s="297"/>
      <c r="G7" s="296"/>
      <c r="H7" s="298"/>
      <c r="I7" s="299"/>
    </row>
    <row r="8" spans="1:9" x14ac:dyDescent="0.25">
      <c r="A8" s="292"/>
      <c r="B8" s="293"/>
      <c r="C8" s="293"/>
      <c r="D8" s="295"/>
      <c r="E8" s="296"/>
      <c r="F8" s="297"/>
      <c r="G8" s="296"/>
      <c r="H8" s="298"/>
      <c r="I8" s="299"/>
    </row>
    <row r="9" spans="1:9" x14ac:dyDescent="0.25">
      <c r="A9" s="292"/>
      <c r="B9" s="293"/>
      <c r="C9" s="293" t="s">
        <v>584</v>
      </c>
      <c r="D9" s="295"/>
      <c r="E9" s="296"/>
      <c r="F9" s="297"/>
      <c r="G9" s="296"/>
      <c r="H9" s="298"/>
      <c r="I9" s="299"/>
    </row>
    <row r="10" spans="1:9" x14ac:dyDescent="0.25">
      <c r="A10" s="292"/>
      <c r="B10" s="293"/>
      <c r="C10" s="293"/>
      <c r="D10" s="295"/>
      <c r="E10" s="296"/>
      <c r="F10" s="297"/>
      <c r="G10" s="296"/>
      <c r="H10" s="298"/>
      <c r="I10" s="299"/>
    </row>
    <row r="11" spans="1:9" x14ac:dyDescent="0.25">
      <c r="A11" s="292"/>
      <c r="B11" s="293"/>
      <c r="C11" s="293" t="s">
        <v>585</v>
      </c>
      <c r="D11" s="295"/>
      <c r="E11" s="296"/>
      <c r="F11" s="297"/>
      <c r="G11" s="296"/>
      <c r="H11" s="298"/>
      <c r="I11" s="299"/>
    </row>
    <row r="12" spans="1:9" x14ac:dyDescent="0.25">
      <c r="A12" s="292"/>
      <c r="B12" s="293"/>
      <c r="C12" s="293"/>
      <c r="D12" s="295"/>
      <c r="E12" s="296"/>
      <c r="F12" s="297"/>
      <c r="G12" s="296"/>
      <c r="H12" s="298"/>
      <c r="I12" s="299"/>
    </row>
    <row r="13" spans="1:9" x14ac:dyDescent="0.25">
      <c r="A13" s="292"/>
      <c r="B13" s="293"/>
      <c r="C13" s="293" t="s">
        <v>586</v>
      </c>
      <c r="D13" s="295"/>
      <c r="E13" s="296"/>
      <c r="F13" s="297"/>
      <c r="G13" s="296"/>
      <c r="H13" s="298"/>
      <c r="I13" s="299"/>
    </row>
    <row r="14" spans="1:9" x14ac:dyDescent="0.25">
      <c r="A14" s="292"/>
      <c r="B14" s="293"/>
      <c r="C14" s="293" t="s">
        <v>587</v>
      </c>
      <c r="D14" s="295"/>
      <c r="E14" s="296"/>
      <c r="F14" s="297"/>
      <c r="G14" s="296"/>
      <c r="H14" s="298"/>
      <c r="I14" s="299"/>
    </row>
    <row r="15" spans="1:9" x14ac:dyDescent="0.25">
      <c r="A15" s="292"/>
      <c r="B15" s="293"/>
      <c r="C15" s="293" t="s">
        <v>588</v>
      </c>
      <c r="D15" s="295"/>
      <c r="E15" s="296"/>
      <c r="F15" s="297"/>
      <c r="G15" s="296"/>
      <c r="H15" s="298"/>
      <c r="I15" s="299"/>
    </row>
    <row r="16" spans="1:9" x14ac:dyDescent="0.25">
      <c r="A16" s="292"/>
      <c r="B16" s="293"/>
      <c r="C16" s="293"/>
      <c r="D16" s="295"/>
      <c r="E16" s="296"/>
      <c r="F16" s="297"/>
      <c r="G16" s="296"/>
      <c r="H16" s="298"/>
      <c r="I16" s="299"/>
    </row>
    <row r="17" spans="1:9" x14ac:dyDescent="0.25">
      <c r="A17" s="292"/>
      <c r="B17" s="293"/>
      <c r="C17" s="293" t="s">
        <v>589</v>
      </c>
      <c r="D17" s="295"/>
      <c r="E17" s="296"/>
      <c r="F17" s="297"/>
      <c r="G17" s="296"/>
      <c r="H17" s="298"/>
      <c r="I17" s="299"/>
    </row>
    <row r="18" spans="1:9" x14ac:dyDescent="0.25">
      <c r="A18" s="292"/>
      <c r="B18" s="293"/>
      <c r="C18" s="293"/>
      <c r="D18" s="295"/>
      <c r="E18" s="296"/>
      <c r="F18" s="297"/>
      <c r="G18" s="296"/>
      <c r="H18" s="298"/>
      <c r="I18" s="299"/>
    </row>
    <row r="19" spans="1:9" x14ac:dyDescent="0.25">
      <c r="A19" s="292"/>
      <c r="B19" s="293"/>
      <c r="C19" s="293" t="s">
        <v>590</v>
      </c>
      <c r="D19" s="295"/>
      <c r="E19" s="296"/>
      <c r="F19" s="297"/>
      <c r="G19" s="296"/>
      <c r="H19" s="298"/>
      <c r="I19" s="299"/>
    </row>
    <row r="20" spans="1:9" x14ac:dyDescent="0.25">
      <c r="A20" s="292"/>
      <c r="B20" s="293"/>
      <c r="C20" s="293"/>
      <c r="D20" s="295"/>
      <c r="E20" s="296"/>
      <c r="F20" s="297"/>
      <c r="G20" s="296"/>
      <c r="H20" s="298"/>
      <c r="I20" s="299"/>
    </row>
    <row r="21" spans="1:9" x14ac:dyDescent="0.25">
      <c r="A21" s="292"/>
      <c r="B21" s="293"/>
      <c r="C21" s="293" t="s">
        <v>591</v>
      </c>
      <c r="D21" s="293"/>
      <c r="E21" s="296"/>
      <c r="F21" s="297"/>
      <c r="G21" s="296"/>
      <c r="H21" s="298"/>
      <c r="I21" s="299"/>
    </row>
    <row r="22" spans="1:9" x14ac:dyDescent="0.25">
      <c r="A22" s="292"/>
      <c r="B22" s="293"/>
      <c r="C22" s="293"/>
      <c r="D22" s="295"/>
      <c r="E22" s="296"/>
      <c r="F22" s="297"/>
      <c r="G22" s="296"/>
      <c r="H22" s="298"/>
      <c r="I22" s="299"/>
    </row>
    <row r="23" spans="1:9" ht="12.75" customHeight="1" x14ac:dyDescent="0.3">
      <c r="A23" s="292"/>
      <c r="B23" s="198"/>
      <c r="C23" s="300" t="s">
        <v>592</v>
      </c>
      <c r="D23" s="295"/>
      <c r="E23" s="296"/>
      <c r="F23" s="297"/>
      <c r="G23" s="296"/>
      <c r="H23" s="298"/>
      <c r="I23" s="299"/>
    </row>
    <row r="24" spans="1:9" ht="12.75" customHeight="1" x14ac:dyDescent="0.3">
      <c r="A24" s="292"/>
      <c r="B24" s="301"/>
      <c r="C24" s="302" t="s">
        <v>593</v>
      </c>
      <c r="D24" s="295"/>
      <c r="E24" s="296"/>
      <c r="F24" s="297"/>
      <c r="G24" s="296"/>
      <c r="H24" s="298"/>
      <c r="I24" s="299"/>
    </row>
    <row r="25" spans="1:9" ht="17.7" customHeight="1" x14ac:dyDescent="0.3">
      <c r="A25" s="292"/>
      <c r="B25" s="301"/>
      <c r="C25" s="294"/>
      <c r="D25" s="295"/>
      <c r="E25" s="296"/>
      <c r="F25" s="297"/>
      <c r="G25" s="296"/>
      <c r="H25" s="298"/>
      <c r="I25" s="299"/>
    </row>
    <row r="26" spans="1:9" ht="12.75" customHeight="1" x14ac:dyDescent="0.3">
      <c r="A26" s="292"/>
      <c r="B26" s="293"/>
      <c r="C26" s="301" t="s">
        <v>594</v>
      </c>
      <c r="D26" s="295"/>
      <c r="E26" s="296"/>
      <c r="F26" s="297"/>
      <c r="G26" s="296"/>
      <c r="H26" s="298"/>
      <c r="I26" s="299"/>
    </row>
    <row r="27" spans="1:9" ht="12.75" customHeight="1" x14ac:dyDescent="0.25">
      <c r="A27" s="292"/>
      <c r="B27" s="294" t="s">
        <v>27</v>
      </c>
      <c r="C27" s="293" t="s">
        <v>595</v>
      </c>
      <c r="D27" s="295"/>
      <c r="E27" s="296"/>
      <c r="F27" s="297"/>
      <c r="G27" s="198"/>
      <c r="H27" s="298"/>
      <c r="I27" s="299"/>
    </row>
    <row r="28" spans="1:9" ht="12.75" customHeight="1" x14ac:dyDescent="0.25">
      <c r="A28" s="292"/>
      <c r="B28" s="293" t="s">
        <v>41</v>
      </c>
      <c r="C28" s="293" t="s">
        <v>596</v>
      </c>
      <c r="D28" s="295"/>
      <c r="E28" s="296"/>
      <c r="F28" s="297"/>
      <c r="G28" s="296">
        <f>G74</f>
        <v>0</v>
      </c>
      <c r="H28" s="298"/>
      <c r="I28" s="299"/>
    </row>
    <row r="29" spans="1:9" ht="12.75" customHeight="1" x14ac:dyDescent="0.25">
      <c r="A29" s="292"/>
      <c r="B29" s="293"/>
      <c r="C29" s="293" t="s">
        <v>597</v>
      </c>
      <c r="D29" s="295"/>
      <c r="E29" s="296"/>
      <c r="F29" s="297"/>
      <c r="G29" s="296">
        <f>G108</f>
        <v>0</v>
      </c>
      <c r="H29" s="298"/>
      <c r="I29" s="299"/>
    </row>
    <row r="30" spans="1:9" ht="12.75" customHeight="1" x14ac:dyDescent="0.25">
      <c r="A30" s="292"/>
      <c r="B30" s="293"/>
      <c r="C30" s="293" t="s">
        <v>598</v>
      </c>
      <c r="D30" s="295"/>
      <c r="E30" s="296"/>
      <c r="F30" s="297"/>
      <c r="G30" s="296">
        <f>G127</f>
        <v>0</v>
      </c>
      <c r="H30" s="298"/>
      <c r="I30" s="299"/>
    </row>
    <row r="31" spans="1:9" ht="12.75" customHeight="1" x14ac:dyDescent="0.25">
      <c r="A31" s="292"/>
      <c r="B31" s="294"/>
      <c r="C31" s="294" t="s">
        <v>599</v>
      </c>
      <c r="D31" s="302"/>
      <c r="E31" s="296"/>
      <c r="F31" s="303"/>
      <c r="G31" s="304">
        <f>SUM(G28:G30)</f>
        <v>0</v>
      </c>
      <c r="H31" s="298"/>
      <c r="I31" s="299"/>
    </row>
    <row r="32" spans="1:9" ht="12.75" customHeight="1" x14ac:dyDescent="0.25">
      <c r="A32" s="292"/>
      <c r="B32" s="294"/>
      <c r="C32" s="294"/>
      <c r="D32" s="302"/>
      <c r="E32" s="296"/>
      <c r="F32" s="303"/>
      <c r="G32" s="304"/>
      <c r="H32" s="298"/>
      <c r="I32" s="299"/>
    </row>
    <row r="33" spans="1:9" ht="12.75" customHeight="1" x14ac:dyDescent="0.25">
      <c r="A33" s="292"/>
      <c r="B33" s="293"/>
      <c r="C33" s="305"/>
      <c r="D33" s="293"/>
      <c r="E33" s="296"/>
      <c r="F33" s="297"/>
      <c r="G33" s="304"/>
      <c r="H33" s="298"/>
      <c r="I33" s="299"/>
    </row>
    <row r="34" spans="1:9" ht="12.75" customHeight="1" x14ac:dyDescent="0.25">
      <c r="A34" s="292"/>
      <c r="B34" s="293"/>
      <c r="C34" s="305"/>
      <c r="D34" s="293"/>
      <c r="E34" s="296"/>
      <c r="F34" s="297"/>
      <c r="G34" s="304"/>
      <c r="H34" s="298"/>
      <c r="I34" s="299"/>
    </row>
    <row r="35" spans="1:9" ht="12.75" customHeight="1" x14ac:dyDescent="0.25">
      <c r="A35" s="292"/>
      <c r="B35" s="198"/>
      <c r="C35" s="294" t="s">
        <v>600</v>
      </c>
      <c r="D35" s="295"/>
      <c r="E35" s="296"/>
      <c r="F35" s="297"/>
      <c r="G35" s="306"/>
      <c r="H35" s="298"/>
      <c r="I35" s="299"/>
    </row>
    <row r="36" spans="1:9" ht="12.75" customHeight="1" x14ac:dyDescent="0.25">
      <c r="A36" s="292"/>
      <c r="B36" s="198"/>
      <c r="C36" s="293" t="s">
        <v>601</v>
      </c>
      <c r="D36" s="295"/>
      <c r="E36" s="296"/>
      <c r="F36" s="198"/>
      <c r="G36" s="198"/>
      <c r="H36" s="198"/>
      <c r="I36" s="307"/>
    </row>
    <row r="37" spans="1:9" ht="12.75" customHeight="1" x14ac:dyDescent="0.25">
      <c r="A37" s="292"/>
      <c r="B37" s="198"/>
      <c r="C37" s="293" t="s">
        <v>602</v>
      </c>
      <c r="D37" s="295"/>
      <c r="E37" s="296"/>
      <c r="F37" s="198"/>
      <c r="G37" s="198"/>
      <c r="H37" s="198"/>
      <c r="I37" s="307"/>
    </row>
    <row r="38" spans="1:9" ht="12.75" customHeight="1" x14ac:dyDescent="0.25">
      <c r="A38" s="292"/>
      <c r="B38" s="198"/>
      <c r="C38" s="293" t="s">
        <v>603</v>
      </c>
      <c r="D38" s="295"/>
      <c r="E38" s="296"/>
      <c r="F38" s="198"/>
      <c r="G38" s="198"/>
      <c r="H38" s="198"/>
      <c r="I38" s="307"/>
    </row>
    <row r="39" spans="1:9" ht="12.75" customHeight="1" x14ac:dyDescent="0.25">
      <c r="A39" s="292"/>
      <c r="B39" s="198"/>
      <c r="C39" s="293" t="s">
        <v>604</v>
      </c>
      <c r="D39" s="295"/>
      <c r="E39" s="296"/>
      <c r="F39" s="198"/>
      <c r="G39" s="198"/>
      <c r="H39" s="198"/>
      <c r="I39" s="307"/>
    </row>
    <row r="40" spans="1:9" ht="12.75" customHeight="1" x14ac:dyDescent="0.25">
      <c r="A40" s="292"/>
      <c r="B40" s="198"/>
      <c r="C40" s="293" t="s">
        <v>605</v>
      </c>
      <c r="D40" s="295"/>
      <c r="E40" s="296"/>
      <c r="F40" s="198"/>
      <c r="G40" s="198"/>
      <c r="H40" s="198"/>
      <c r="I40" s="307"/>
    </row>
    <row r="41" spans="1:9" ht="12.75" customHeight="1" x14ac:dyDescent="0.25">
      <c r="A41" s="292"/>
      <c r="B41" s="198"/>
      <c r="C41" s="293" t="s">
        <v>606</v>
      </c>
      <c r="D41" s="295"/>
      <c r="E41" s="296"/>
      <c r="F41" s="198"/>
      <c r="G41" s="198"/>
      <c r="H41" s="198"/>
      <c r="I41" s="307"/>
    </row>
    <row r="42" spans="1:9" ht="12.75" customHeight="1" x14ac:dyDescent="0.25">
      <c r="A42" s="308"/>
      <c r="B42" s="309"/>
      <c r="C42" s="310" t="s">
        <v>607</v>
      </c>
      <c r="D42" s="311"/>
      <c r="E42" s="312"/>
      <c r="F42" s="313"/>
      <c r="G42" s="309"/>
      <c r="H42" s="309"/>
      <c r="I42" s="314"/>
    </row>
    <row r="43" spans="1:9" ht="15" customHeight="1" x14ac:dyDescent="0.25">
      <c r="A43" s="315" t="s">
        <v>608</v>
      </c>
      <c r="B43" s="315" t="s">
        <v>115</v>
      </c>
      <c r="C43" s="315" t="s">
        <v>609</v>
      </c>
      <c r="D43" s="316" t="s">
        <v>610</v>
      </c>
      <c r="E43" s="317" t="s">
        <v>118</v>
      </c>
      <c r="F43" s="317" t="s">
        <v>611</v>
      </c>
      <c r="G43" s="317" t="s">
        <v>612</v>
      </c>
      <c r="H43" s="318" t="s">
        <v>613</v>
      </c>
      <c r="I43" s="319" t="s">
        <v>614</v>
      </c>
    </row>
    <row r="44" spans="1:9" ht="12.75" customHeight="1" x14ac:dyDescent="0.3">
      <c r="A44" s="320"/>
      <c r="B44" s="321" t="s">
        <v>615</v>
      </c>
      <c r="C44" s="321" t="s">
        <v>595</v>
      </c>
      <c r="D44" s="322"/>
      <c r="E44" s="323"/>
      <c r="F44" s="324"/>
      <c r="G44" s="323"/>
      <c r="H44" s="325"/>
      <c r="I44" s="326"/>
    </row>
    <row r="45" spans="1:9" ht="12.75" customHeight="1" x14ac:dyDescent="0.3">
      <c r="A45" s="327"/>
      <c r="B45" s="327"/>
      <c r="C45" s="328"/>
      <c r="D45" s="329"/>
      <c r="E45" s="330"/>
      <c r="F45" s="331"/>
      <c r="G45" s="330"/>
      <c r="H45" s="332"/>
      <c r="I45" s="333"/>
    </row>
    <row r="46" spans="1:9" ht="12.75" customHeight="1" x14ac:dyDescent="0.25">
      <c r="A46" s="334"/>
      <c r="B46" s="335" t="s">
        <v>616</v>
      </c>
      <c r="C46" s="336"/>
      <c r="D46" s="337"/>
      <c r="E46" s="338"/>
      <c r="F46" s="338"/>
      <c r="G46" s="339"/>
      <c r="H46" s="332"/>
      <c r="I46" s="333"/>
    </row>
    <row r="47" spans="1:9" ht="12.75" customHeight="1" x14ac:dyDescent="0.25">
      <c r="A47" s="340" t="s">
        <v>1230</v>
      </c>
      <c r="B47" s="327" t="s">
        <v>617</v>
      </c>
      <c r="C47" s="336" t="s">
        <v>618</v>
      </c>
      <c r="D47" s="329" t="s">
        <v>619</v>
      </c>
      <c r="E47" s="330">
        <v>2</v>
      </c>
      <c r="F47" s="417"/>
      <c r="G47" s="330">
        <f>F47*E47</f>
        <v>0</v>
      </c>
      <c r="H47" s="341">
        <v>0</v>
      </c>
      <c r="I47" s="332">
        <v>0</v>
      </c>
    </row>
    <row r="48" spans="1:9" ht="12.75" customHeight="1" x14ac:dyDescent="0.25">
      <c r="A48" s="342"/>
      <c r="B48" s="343"/>
      <c r="C48" s="344" t="s">
        <v>620</v>
      </c>
      <c r="D48" s="345" t="s">
        <v>619</v>
      </c>
      <c r="E48" s="346">
        <v>6</v>
      </c>
      <c r="F48" s="418"/>
      <c r="G48" s="330">
        <f t="shared" ref="G48:G50" si="0">F48*E48</f>
        <v>0</v>
      </c>
      <c r="H48" s="348">
        <v>0.01</v>
      </c>
      <c r="I48" s="349">
        <v>0.06</v>
      </c>
    </row>
    <row r="49" spans="1:9" ht="12.75" customHeight="1" x14ac:dyDescent="0.25">
      <c r="A49" s="350" t="s">
        <v>1231</v>
      </c>
      <c r="B49" s="320" t="s">
        <v>621</v>
      </c>
      <c r="C49" s="351" t="s">
        <v>622</v>
      </c>
      <c r="D49" s="322" t="s">
        <v>619</v>
      </c>
      <c r="E49" s="323">
        <v>1</v>
      </c>
      <c r="F49" s="419"/>
      <c r="G49" s="330">
        <f t="shared" si="0"/>
        <v>0</v>
      </c>
      <c r="H49" s="352">
        <v>0</v>
      </c>
      <c r="I49" s="325">
        <v>0</v>
      </c>
    </row>
    <row r="50" spans="1:9" ht="12.75" customHeight="1" x14ac:dyDescent="0.25">
      <c r="A50" s="353"/>
      <c r="B50" s="327"/>
      <c r="C50" s="354" t="s">
        <v>623</v>
      </c>
      <c r="D50" s="329" t="s">
        <v>619</v>
      </c>
      <c r="E50" s="330">
        <v>1</v>
      </c>
      <c r="F50" s="417"/>
      <c r="G50" s="330">
        <f t="shared" si="0"/>
        <v>0</v>
      </c>
      <c r="H50" s="341">
        <v>5.1999999999999998E-2</v>
      </c>
      <c r="I50" s="332">
        <v>5.1999999999999998E-2</v>
      </c>
    </row>
    <row r="51" spans="1:9" ht="12.75" customHeight="1" x14ac:dyDescent="0.25">
      <c r="A51" s="353"/>
      <c r="B51" s="327"/>
      <c r="C51" s="354" t="s">
        <v>624</v>
      </c>
      <c r="D51" s="329"/>
      <c r="E51" s="330"/>
      <c r="F51" s="331"/>
      <c r="G51" s="330"/>
      <c r="H51" s="341"/>
      <c r="I51" s="332"/>
    </row>
    <row r="52" spans="1:9" ht="12.75" customHeight="1" x14ac:dyDescent="0.25">
      <c r="A52" s="353"/>
      <c r="B52" s="327"/>
      <c r="C52" s="354" t="s">
        <v>625</v>
      </c>
      <c r="D52" s="329"/>
      <c r="E52" s="330"/>
      <c r="F52" s="331"/>
      <c r="G52" s="330"/>
      <c r="H52" s="341"/>
      <c r="I52" s="332"/>
    </row>
    <row r="53" spans="1:9" ht="12.75" customHeight="1" x14ac:dyDescent="0.25">
      <c r="A53" s="355"/>
      <c r="B53" s="334"/>
      <c r="C53" s="327" t="s">
        <v>749</v>
      </c>
      <c r="D53" s="356"/>
      <c r="E53" s="338"/>
      <c r="F53" s="338"/>
      <c r="G53" s="338"/>
      <c r="H53" s="357"/>
      <c r="I53" s="358"/>
    </row>
    <row r="54" spans="1:9" ht="12.75" customHeight="1" x14ac:dyDescent="0.25">
      <c r="A54" s="355"/>
      <c r="B54" s="334"/>
      <c r="C54" s="327" t="s">
        <v>750</v>
      </c>
      <c r="D54" s="356"/>
      <c r="E54" s="338"/>
      <c r="F54" s="338"/>
      <c r="G54" s="338"/>
      <c r="H54" s="357"/>
      <c r="I54" s="358"/>
    </row>
    <row r="55" spans="1:9" ht="12.75" customHeight="1" x14ac:dyDescent="0.25">
      <c r="A55" s="359"/>
      <c r="B55" s="360"/>
      <c r="C55" s="343" t="s">
        <v>626</v>
      </c>
      <c r="D55" s="361"/>
      <c r="E55" s="362"/>
      <c r="F55" s="362"/>
      <c r="G55" s="362"/>
      <c r="H55" s="363"/>
      <c r="I55" s="364"/>
    </row>
    <row r="56" spans="1:9" ht="12.75" customHeight="1" x14ac:dyDescent="0.25">
      <c r="A56" s="350" t="s">
        <v>1232</v>
      </c>
      <c r="B56" s="320" t="s">
        <v>751</v>
      </c>
      <c r="C56" s="320" t="s">
        <v>752</v>
      </c>
      <c r="D56" s="322" t="s">
        <v>619</v>
      </c>
      <c r="E56" s="323">
        <v>1</v>
      </c>
      <c r="F56" s="419"/>
      <c r="G56" s="323">
        <f>F56*E56</f>
        <v>0</v>
      </c>
      <c r="H56" s="352">
        <v>0</v>
      </c>
      <c r="I56" s="325">
        <v>0</v>
      </c>
    </row>
    <row r="57" spans="1:9" ht="12.75" customHeight="1" x14ac:dyDescent="0.25">
      <c r="A57" s="340"/>
      <c r="B57" s="327"/>
      <c r="C57" s="327" t="s">
        <v>753</v>
      </c>
      <c r="D57" s="329"/>
      <c r="E57" s="330"/>
      <c r="F57" s="331"/>
      <c r="G57" s="330"/>
      <c r="H57" s="341"/>
      <c r="I57" s="332"/>
    </row>
    <row r="58" spans="1:9" ht="12.75" customHeight="1" x14ac:dyDescent="0.25">
      <c r="A58" s="342"/>
      <c r="B58" s="360"/>
      <c r="C58" s="344" t="s">
        <v>754</v>
      </c>
      <c r="D58" s="345" t="s">
        <v>619</v>
      </c>
      <c r="E58" s="346">
        <v>1</v>
      </c>
      <c r="F58" s="418"/>
      <c r="G58" s="346">
        <f>F58*E58</f>
        <v>0</v>
      </c>
      <c r="H58" s="348">
        <v>8.5000000000000006E-3</v>
      </c>
      <c r="I58" s="349">
        <v>8.5000000000000006E-3</v>
      </c>
    </row>
    <row r="59" spans="1:9" ht="12.75" customHeight="1" x14ac:dyDescent="0.25">
      <c r="A59" s="340" t="s">
        <v>1233</v>
      </c>
      <c r="B59" s="327" t="s">
        <v>627</v>
      </c>
      <c r="C59" s="336" t="s">
        <v>628</v>
      </c>
      <c r="D59" s="329" t="s">
        <v>619</v>
      </c>
      <c r="E59" s="330">
        <v>1</v>
      </c>
      <c r="F59" s="417"/>
      <c r="G59" s="346">
        <f>F59*E59</f>
        <v>0</v>
      </c>
      <c r="H59" s="341">
        <v>0</v>
      </c>
      <c r="I59" s="332">
        <v>0</v>
      </c>
    </row>
    <row r="60" spans="1:9" ht="12.75" customHeight="1" x14ac:dyDescent="0.3">
      <c r="A60" s="340"/>
      <c r="B60" s="327"/>
      <c r="C60" s="336" t="s">
        <v>629</v>
      </c>
      <c r="D60" s="329"/>
      <c r="E60" s="330"/>
      <c r="F60" s="331"/>
      <c r="G60" s="330"/>
      <c r="H60" s="341"/>
      <c r="I60" s="332"/>
    </row>
    <row r="61" spans="1:9" ht="12.75" customHeight="1" x14ac:dyDescent="0.25">
      <c r="A61" s="342"/>
      <c r="B61" s="343"/>
      <c r="C61" s="344" t="s">
        <v>630</v>
      </c>
      <c r="D61" s="345" t="s">
        <v>619</v>
      </c>
      <c r="E61" s="346">
        <v>1</v>
      </c>
      <c r="F61" s="418"/>
      <c r="G61" s="346">
        <f>F61*E61</f>
        <v>0</v>
      </c>
      <c r="H61" s="348">
        <v>0.01</v>
      </c>
      <c r="I61" s="349">
        <v>0.01</v>
      </c>
    </row>
    <row r="62" spans="1:9" ht="12.75" customHeight="1" x14ac:dyDescent="0.25">
      <c r="A62" s="350" t="s">
        <v>1234</v>
      </c>
      <c r="B62" s="320" t="s">
        <v>631</v>
      </c>
      <c r="C62" s="320" t="s">
        <v>632</v>
      </c>
      <c r="D62" s="322" t="s">
        <v>178</v>
      </c>
      <c r="E62" s="323">
        <v>3</v>
      </c>
      <c r="F62" s="419"/>
      <c r="G62" s="323">
        <f>F62*E62</f>
        <v>0</v>
      </c>
      <c r="H62" s="352">
        <v>1.336E-2</v>
      </c>
      <c r="I62" s="325">
        <v>4.0080000000000005E-2</v>
      </c>
    </row>
    <row r="63" spans="1:9" ht="12.75" customHeight="1" x14ac:dyDescent="0.25">
      <c r="A63" s="365"/>
      <c r="B63" s="334"/>
      <c r="C63" s="327" t="s">
        <v>633</v>
      </c>
      <c r="D63" s="334"/>
      <c r="E63" s="338"/>
      <c r="F63" s="338"/>
      <c r="G63" s="338"/>
      <c r="H63" s="357"/>
      <c r="I63" s="358"/>
    </row>
    <row r="64" spans="1:9" ht="12.75" customHeight="1" x14ac:dyDescent="0.25">
      <c r="A64" s="366"/>
      <c r="B64" s="334"/>
      <c r="C64" s="333" t="s">
        <v>634</v>
      </c>
      <c r="D64" s="334"/>
      <c r="E64" s="338"/>
      <c r="F64" s="331"/>
      <c r="G64" s="330"/>
      <c r="H64" s="341"/>
      <c r="I64" s="332"/>
    </row>
    <row r="65" spans="1:9" ht="12.75" customHeight="1" x14ac:dyDescent="0.25">
      <c r="A65" s="350"/>
      <c r="B65" s="334"/>
      <c r="C65" s="327" t="s">
        <v>635</v>
      </c>
      <c r="D65" s="334"/>
      <c r="E65" s="338"/>
      <c r="F65" s="338"/>
      <c r="G65" s="338"/>
      <c r="H65" s="357"/>
      <c r="I65" s="358"/>
    </row>
    <row r="66" spans="1:9" ht="12.75" customHeight="1" x14ac:dyDescent="0.25">
      <c r="A66" s="355"/>
      <c r="B66" s="327" t="s">
        <v>636</v>
      </c>
      <c r="C66" s="367" t="s">
        <v>670</v>
      </c>
      <c r="D66" s="329" t="s">
        <v>178</v>
      </c>
      <c r="E66" s="330">
        <v>4</v>
      </c>
      <c r="F66" s="417"/>
      <c r="G66" s="330">
        <f>F66*E66</f>
        <v>0</v>
      </c>
      <c r="H66" s="341">
        <v>1.8419999999999999E-2</v>
      </c>
      <c r="I66" s="332">
        <v>7.3679999999999995E-2</v>
      </c>
    </row>
    <row r="67" spans="1:9" ht="12.75" customHeight="1" x14ac:dyDescent="0.25">
      <c r="A67" s="355"/>
      <c r="B67" s="334"/>
      <c r="C67" s="367" t="s">
        <v>671</v>
      </c>
      <c r="D67" s="334"/>
      <c r="E67" s="338"/>
      <c r="F67" s="338"/>
      <c r="G67" s="338"/>
      <c r="H67" s="357"/>
      <c r="I67" s="358"/>
    </row>
    <row r="68" spans="1:9" ht="12.75" customHeight="1" x14ac:dyDescent="0.25">
      <c r="A68" s="355"/>
      <c r="B68" s="334"/>
      <c r="C68" s="368" t="s">
        <v>672</v>
      </c>
      <c r="D68" s="334"/>
      <c r="E68" s="338"/>
      <c r="F68" s="331"/>
      <c r="G68" s="330"/>
      <c r="H68" s="341"/>
      <c r="I68" s="332"/>
    </row>
    <row r="69" spans="1:9" ht="12.75" customHeight="1" x14ac:dyDescent="0.25">
      <c r="A69" s="340"/>
      <c r="B69" s="360"/>
      <c r="C69" s="369" t="s">
        <v>1229</v>
      </c>
      <c r="D69" s="360"/>
      <c r="E69" s="362"/>
      <c r="F69" s="362"/>
      <c r="G69" s="362"/>
      <c r="H69" s="363"/>
      <c r="I69" s="364"/>
    </row>
    <row r="70" spans="1:9" ht="12.75" customHeight="1" x14ac:dyDescent="0.25">
      <c r="A70" s="370"/>
      <c r="B70" s="370"/>
      <c r="C70" s="371" t="s">
        <v>637</v>
      </c>
      <c r="D70" s="372"/>
      <c r="E70" s="373"/>
      <c r="F70" s="373"/>
      <c r="G70" s="374">
        <f>SUM(G47:G66)</f>
        <v>0</v>
      </c>
      <c r="H70" s="375"/>
      <c r="I70" s="374">
        <v>0.24426</v>
      </c>
    </row>
    <row r="71" spans="1:9" ht="12.75" customHeight="1" x14ac:dyDescent="0.25">
      <c r="A71" s="355"/>
      <c r="B71" s="334"/>
      <c r="C71" s="376"/>
      <c r="D71" s="337"/>
      <c r="E71" s="338"/>
      <c r="F71" s="338"/>
      <c r="G71" s="377"/>
      <c r="H71" s="378"/>
      <c r="I71" s="377"/>
    </row>
    <row r="72" spans="1:9" ht="12.75" customHeight="1" x14ac:dyDescent="0.25">
      <c r="A72" s="359"/>
      <c r="B72" s="327">
        <v>998</v>
      </c>
      <c r="C72" s="327" t="s">
        <v>638</v>
      </c>
      <c r="D72" s="329"/>
      <c r="E72" s="330"/>
      <c r="F72" s="331"/>
      <c r="G72" s="330"/>
      <c r="H72" s="379"/>
      <c r="I72" s="380"/>
    </row>
    <row r="73" spans="1:9" ht="37.200000000000003" customHeight="1" x14ac:dyDescent="0.25">
      <c r="A73" s="334"/>
      <c r="B73" s="327" t="s">
        <v>639</v>
      </c>
      <c r="C73" s="327" t="s">
        <v>640</v>
      </c>
      <c r="D73" s="329" t="s">
        <v>267</v>
      </c>
      <c r="E73" s="332">
        <v>0.24426</v>
      </c>
      <c r="F73" s="417"/>
      <c r="G73" s="330">
        <f>F73*E73</f>
        <v>0</v>
      </c>
      <c r="H73" s="379"/>
      <c r="I73" s="380"/>
    </row>
    <row r="74" spans="1:9" ht="39.6" customHeight="1" x14ac:dyDescent="0.25">
      <c r="A74" s="381"/>
      <c r="B74" s="381"/>
      <c r="C74" s="382" t="s">
        <v>641</v>
      </c>
      <c r="D74" s="383"/>
      <c r="E74" s="384"/>
      <c r="F74" s="384"/>
      <c r="G74" s="385">
        <f>G73+G70</f>
        <v>0</v>
      </c>
      <c r="H74" s="386"/>
      <c r="I74" s="387"/>
    </row>
    <row r="75" spans="1:9" ht="12.75" customHeight="1" x14ac:dyDescent="0.25">
      <c r="A75" s="334"/>
      <c r="B75" s="334"/>
      <c r="C75" s="327"/>
      <c r="D75" s="334"/>
      <c r="E75" s="338"/>
      <c r="F75" s="338"/>
      <c r="G75" s="338"/>
      <c r="H75" s="357"/>
      <c r="I75" s="358"/>
    </row>
    <row r="76" spans="1:9" ht="12.75" customHeight="1" x14ac:dyDescent="0.25">
      <c r="A76" s="334"/>
      <c r="B76" s="335" t="s">
        <v>642</v>
      </c>
      <c r="C76" s="336"/>
      <c r="D76" s="337"/>
      <c r="E76" s="338"/>
      <c r="F76" s="338"/>
      <c r="G76" s="339"/>
      <c r="H76" s="332"/>
      <c r="I76" s="333"/>
    </row>
    <row r="77" spans="1:9" ht="12.75" customHeight="1" x14ac:dyDescent="0.25">
      <c r="A77" s="388" t="s">
        <v>1235</v>
      </c>
      <c r="B77" s="327" t="s">
        <v>643</v>
      </c>
      <c r="C77" s="327" t="s">
        <v>644</v>
      </c>
      <c r="D77" s="329" t="s">
        <v>619</v>
      </c>
      <c r="E77" s="330">
        <v>6</v>
      </c>
      <c r="F77" s="417"/>
      <c r="G77" s="330">
        <f>F77*E77</f>
        <v>0</v>
      </c>
      <c r="H77" s="389">
        <v>0</v>
      </c>
      <c r="I77" s="332">
        <v>0</v>
      </c>
    </row>
    <row r="78" spans="1:9" ht="12.75" customHeight="1" x14ac:dyDescent="0.25">
      <c r="A78" s="334"/>
      <c r="B78" s="334"/>
      <c r="C78" s="336" t="s">
        <v>645</v>
      </c>
      <c r="D78" s="329" t="s">
        <v>619</v>
      </c>
      <c r="E78" s="330">
        <v>6</v>
      </c>
      <c r="F78" s="417"/>
      <c r="G78" s="330">
        <f>F78*E78</f>
        <v>0</v>
      </c>
      <c r="H78" s="389">
        <v>3.49E-3</v>
      </c>
      <c r="I78" s="332">
        <v>2.094E-2</v>
      </c>
    </row>
    <row r="79" spans="1:9" ht="12.75" customHeight="1" x14ac:dyDescent="0.25">
      <c r="A79" s="334"/>
      <c r="B79" s="334"/>
      <c r="C79" s="336" t="s">
        <v>646</v>
      </c>
      <c r="D79" s="329"/>
      <c r="E79" s="330"/>
      <c r="F79" s="331"/>
      <c r="G79" s="330"/>
      <c r="H79" s="389"/>
      <c r="I79" s="332"/>
    </row>
    <row r="80" spans="1:9" ht="12" customHeight="1" x14ac:dyDescent="0.25">
      <c r="A80" s="360"/>
      <c r="B80" s="360"/>
      <c r="C80" s="344" t="s">
        <v>647</v>
      </c>
      <c r="D80" s="345"/>
      <c r="E80" s="346"/>
      <c r="F80" s="347"/>
      <c r="G80" s="346"/>
      <c r="H80" s="390"/>
      <c r="I80" s="349"/>
    </row>
    <row r="81" spans="1:9" ht="12.75" customHeight="1" x14ac:dyDescent="0.25">
      <c r="A81" s="388" t="s">
        <v>1236</v>
      </c>
      <c r="B81" s="327" t="s">
        <v>648</v>
      </c>
      <c r="C81" s="327" t="s">
        <v>649</v>
      </c>
      <c r="D81" s="329" t="s">
        <v>619</v>
      </c>
      <c r="E81" s="330">
        <v>2</v>
      </c>
      <c r="F81" s="417"/>
      <c r="G81" s="330">
        <f>F81*E81</f>
        <v>0</v>
      </c>
      <c r="H81" s="389">
        <v>0</v>
      </c>
      <c r="I81" s="332">
        <v>0</v>
      </c>
    </row>
    <row r="82" spans="1:9" ht="12" customHeight="1" x14ac:dyDescent="0.25">
      <c r="A82" s="334"/>
      <c r="B82" s="334"/>
      <c r="C82" s="336" t="s">
        <v>650</v>
      </c>
      <c r="D82" s="329" t="s">
        <v>619</v>
      </c>
      <c r="E82" s="330">
        <v>2</v>
      </c>
      <c r="F82" s="417"/>
      <c r="G82" s="330">
        <f>F82*E82</f>
        <v>0</v>
      </c>
      <c r="H82" s="389">
        <v>8.8000000000000003E-4</v>
      </c>
      <c r="I82" s="332">
        <v>1.7600000000000001E-3</v>
      </c>
    </row>
    <row r="83" spans="1:9" ht="12.75" customHeight="1" x14ac:dyDescent="0.25">
      <c r="A83" s="334"/>
      <c r="B83" s="334"/>
      <c r="C83" s="336" t="s">
        <v>651</v>
      </c>
      <c r="D83" s="329"/>
      <c r="E83" s="330"/>
      <c r="F83" s="331"/>
      <c r="G83" s="330"/>
      <c r="H83" s="389"/>
      <c r="I83" s="332"/>
    </row>
    <row r="84" spans="1:9" ht="12.75" customHeight="1" x14ac:dyDescent="0.25">
      <c r="A84" s="360"/>
      <c r="B84" s="360"/>
      <c r="C84" s="344" t="s">
        <v>647</v>
      </c>
      <c r="D84" s="345"/>
      <c r="E84" s="346"/>
      <c r="F84" s="347"/>
      <c r="G84" s="346"/>
      <c r="H84" s="390"/>
      <c r="I84" s="349"/>
    </row>
    <row r="85" spans="1:9" ht="12.75" customHeight="1" x14ac:dyDescent="0.25">
      <c r="A85" s="391" t="s">
        <v>1237</v>
      </c>
      <c r="B85" s="320" t="s">
        <v>652</v>
      </c>
      <c r="C85" s="320" t="s">
        <v>653</v>
      </c>
      <c r="D85" s="322" t="s">
        <v>619</v>
      </c>
      <c r="E85" s="323">
        <v>3</v>
      </c>
      <c r="F85" s="419"/>
      <c r="G85" s="323">
        <f>F85*E85</f>
        <v>0</v>
      </c>
      <c r="H85" s="392">
        <v>0</v>
      </c>
      <c r="I85" s="325">
        <v>0</v>
      </c>
    </row>
    <row r="86" spans="1:9" ht="12.75" customHeight="1" x14ac:dyDescent="0.25">
      <c r="A86" s="360"/>
      <c r="B86" s="360"/>
      <c r="C86" s="393" t="s">
        <v>654</v>
      </c>
      <c r="D86" s="345" t="s">
        <v>619</v>
      </c>
      <c r="E86" s="346">
        <v>3</v>
      </c>
      <c r="F86" s="418"/>
      <c r="G86" s="323">
        <f>F86*E86</f>
        <v>0</v>
      </c>
      <c r="H86" s="390">
        <v>1E-3</v>
      </c>
      <c r="I86" s="349">
        <v>3.0000000000000001E-3</v>
      </c>
    </row>
    <row r="87" spans="1:9" ht="12.75" customHeight="1" x14ac:dyDescent="0.25">
      <c r="A87" s="391" t="s">
        <v>1238</v>
      </c>
      <c r="B87" s="320" t="s">
        <v>652</v>
      </c>
      <c r="C87" s="320" t="s">
        <v>653</v>
      </c>
      <c r="D87" s="322" t="s">
        <v>619</v>
      </c>
      <c r="E87" s="323">
        <v>4</v>
      </c>
      <c r="F87" s="419"/>
      <c r="G87" s="323">
        <f>F87*E87</f>
        <v>0</v>
      </c>
      <c r="H87" s="392">
        <v>0</v>
      </c>
      <c r="I87" s="325">
        <v>0</v>
      </c>
    </row>
    <row r="88" spans="1:9" ht="12.75" customHeight="1" x14ac:dyDescent="0.25">
      <c r="A88" s="360"/>
      <c r="B88" s="360"/>
      <c r="C88" s="393" t="s">
        <v>655</v>
      </c>
      <c r="D88" s="345" t="s">
        <v>619</v>
      </c>
      <c r="E88" s="346">
        <v>4</v>
      </c>
      <c r="F88" s="418"/>
      <c r="G88" s="323">
        <f t="shared" ref="G88:G92" si="1">F88*E88</f>
        <v>0</v>
      </c>
      <c r="H88" s="390">
        <v>1E-3</v>
      </c>
      <c r="I88" s="349">
        <v>4.0000000000000001E-3</v>
      </c>
    </row>
    <row r="89" spans="1:9" ht="12.75" customHeight="1" x14ac:dyDescent="0.25">
      <c r="A89" s="391" t="s">
        <v>1239</v>
      </c>
      <c r="B89" s="320" t="s">
        <v>656</v>
      </c>
      <c r="C89" s="351" t="s">
        <v>657</v>
      </c>
      <c r="D89" s="322" t="s">
        <v>619</v>
      </c>
      <c r="E89" s="323">
        <v>2</v>
      </c>
      <c r="F89" s="419"/>
      <c r="G89" s="323">
        <f t="shared" si="1"/>
        <v>0</v>
      </c>
      <c r="H89" s="352">
        <v>0</v>
      </c>
      <c r="I89" s="325">
        <v>0</v>
      </c>
    </row>
    <row r="90" spans="1:9" ht="12.75" customHeight="1" x14ac:dyDescent="0.25">
      <c r="A90" s="344"/>
      <c r="B90" s="343"/>
      <c r="C90" s="394" t="s">
        <v>658</v>
      </c>
      <c r="D90" s="345" t="s">
        <v>619</v>
      </c>
      <c r="E90" s="346">
        <v>2</v>
      </c>
      <c r="F90" s="418"/>
      <c r="G90" s="323">
        <f t="shared" si="1"/>
        <v>0</v>
      </c>
      <c r="H90" s="348">
        <v>5.3E-3</v>
      </c>
      <c r="I90" s="349">
        <v>1.06E-2</v>
      </c>
    </row>
    <row r="91" spans="1:9" ht="12.75" customHeight="1" x14ac:dyDescent="0.25">
      <c r="A91" s="391" t="s">
        <v>1240</v>
      </c>
      <c r="B91" s="320" t="s">
        <v>659</v>
      </c>
      <c r="C91" s="351" t="s">
        <v>660</v>
      </c>
      <c r="D91" s="322" t="s">
        <v>619</v>
      </c>
      <c r="E91" s="323">
        <v>1</v>
      </c>
      <c r="F91" s="419"/>
      <c r="G91" s="323">
        <f t="shared" si="1"/>
        <v>0</v>
      </c>
      <c r="H91" s="352">
        <v>0</v>
      </c>
      <c r="I91" s="325">
        <v>0</v>
      </c>
    </row>
    <row r="92" spans="1:9" ht="12.75" customHeight="1" x14ac:dyDescent="0.3">
      <c r="A92" s="336"/>
      <c r="B92" s="327"/>
      <c r="C92" s="354" t="s">
        <v>755</v>
      </c>
      <c r="D92" s="329" t="s">
        <v>619</v>
      </c>
      <c r="E92" s="330">
        <v>1</v>
      </c>
      <c r="F92" s="417"/>
      <c r="G92" s="323">
        <f t="shared" si="1"/>
        <v>0</v>
      </c>
      <c r="H92" s="341">
        <v>4.8999999999999998E-3</v>
      </c>
      <c r="I92" s="332">
        <v>4.8999999999999998E-3</v>
      </c>
    </row>
    <row r="93" spans="1:9" ht="12.75" customHeight="1" x14ac:dyDescent="0.25">
      <c r="A93" s="334"/>
      <c r="B93" s="334"/>
      <c r="C93" s="327" t="s">
        <v>661</v>
      </c>
      <c r="D93" s="356"/>
      <c r="E93" s="338"/>
      <c r="F93" s="338"/>
      <c r="G93" s="338"/>
      <c r="H93" s="357"/>
      <c r="I93" s="358"/>
    </row>
    <row r="94" spans="1:9" ht="12.75" customHeight="1" x14ac:dyDescent="0.25">
      <c r="A94" s="334"/>
      <c r="B94" s="334"/>
      <c r="C94" s="327" t="s">
        <v>662</v>
      </c>
      <c r="D94" s="356"/>
      <c r="E94" s="338"/>
      <c r="F94" s="338"/>
      <c r="G94" s="338"/>
      <c r="H94" s="357"/>
      <c r="I94" s="358"/>
    </row>
    <row r="95" spans="1:9" ht="12.75" customHeight="1" x14ac:dyDescent="0.25">
      <c r="A95" s="360"/>
      <c r="B95" s="395"/>
      <c r="C95" s="344" t="s">
        <v>663</v>
      </c>
      <c r="D95" s="396"/>
      <c r="E95" s="362"/>
      <c r="F95" s="362"/>
      <c r="G95" s="397"/>
      <c r="H95" s="364"/>
      <c r="I95" s="349"/>
    </row>
    <row r="96" spans="1:9" ht="12.75" customHeight="1" x14ac:dyDescent="0.25">
      <c r="A96" s="391" t="s">
        <v>1241</v>
      </c>
      <c r="B96" s="320" t="s">
        <v>664</v>
      </c>
      <c r="C96" s="320" t="s">
        <v>665</v>
      </c>
      <c r="D96" s="322" t="s">
        <v>619</v>
      </c>
      <c r="E96" s="323">
        <v>1</v>
      </c>
      <c r="F96" s="419"/>
      <c r="G96" s="323">
        <f>F96*E96</f>
        <v>0</v>
      </c>
      <c r="H96" s="352">
        <v>0</v>
      </c>
      <c r="I96" s="325">
        <v>0</v>
      </c>
    </row>
    <row r="97" spans="1:9" ht="12.75" customHeight="1" x14ac:dyDescent="0.3">
      <c r="A97" s="343"/>
      <c r="B97" s="360"/>
      <c r="C97" s="344" t="s">
        <v>756</v>
      </c>
      <c r="D97" s="345" t="s">
        <v>619</v>
      </c>
      <c r="E97" s="346">
        <v>1</v>
      </c>
      <c r="F97" s="418"/>
      <c r="G97" s="323">
        <f t="shared" ref="G97:G99" si="2">F97*E97</f>
        <v>0</v>
      </c>
      <c r="H97" s="348">
        <v>1E-3</v>
      </c>
      <c r="I97" s="349">
        <v>1E-3</v>
      </c>
    </row>
    <row r="98" spans="1:9" ht="12.75" customHeight="1" x14ac:dyDescent="0.25">
      <c r="A98" s="388" t="s">
        <v>1242</v>
      </c>
      <c r="B98" s="327" t="s">
        <v>666</v>
      </c>
      <c r="C98" s="327" t="s">
        <v>667</v>
      </c>
      <c r="D98" s="329" t="s">
        <v>619</v>
      </c>
      <c r="E98" s="330">
        <v>1</v>
      </c>
      <c r="F98" s="417"/>
      <c r="G98" s="323">
        <f t="shared" si="2"/>
        <v>0</v>
      </c>
      <c r="H98" s="341">
        <v>0</v>
      </c>
      <c r="I98" s="332">
        <v>0</v>
      </c>
    </row>
    <row r="99" spans="1:9" ht="12.75" customHeight="1" x14ac:dyDescent="0.25">
      <c r="A99" s="360"/>
      <c r="B99" s="360"/>
      <c r="C99" s="344" t="s">
        <v>668</v>
      </c>
      <c r="D99" s="345" t="s">
        <v>619</v>
      </c>
      <c r="E99" s="346">
        <v>1</v>
      </c>
      <c r="F99" s="418"/>
      <c r="G99" s="323">
        <f t="shared" si="2"/>
        <v>0</v>
      </c>
      <c r="H99" s="348">
        <v>1E-3</v>
      </c>
      <c r="I99" s="349">
        <v>1E-3</v>
      </c>
    </row>
    <row r="100" spans="1:9" ht="12.75" customHeight="1" x14ac:dyDescent="0.25">
      <c r="A100" s="388" t="s">
        <v>1243</v>
      </c>
      <c r="B100" s="327" t="s">
        <v>669</v>
      </c>
      <c r="C100" s="398" t="s">
        <v>670</v>
      </c>
      <c r="D100" s="329" t="s">
        <v>178</v>
      </c>
      <c r="E100" s="330">
        <v>10</v>
      </c>
      <c r="F100" s="417"/>
      <c r="G100" s="330">
        <f>F100*E100</f>
        <v>0</v>
      </c>
      <c r="H100" s="341">
        <v>3.4399999999999999E-3</v>
      </c>
      <c r="I100" s="332">
        <v>3.44E-2</v>
      </c>
    </row>
    <row r="101" spans="1:9" ht="12.75" customHeight="1" x14ac:dyDescent="0.25">
      <c r="A101" s="334"/>
      <c r="B101" s="334"/>
      <c r="C101" s="398" t="s">
        <v>671</v>
      </c>
      <c r="D101" s="334"/>
      <c r="E101" s="338"/>
      <c r="F101" s="338"/>
      <c r="G101" s="338"/>
      <c r="H101" s="357"/>
      <c r="I101" s="358"/>
    </row>
    <row r="102" spans="1:9" ht="12.75" customHeight="1" x14ac:dyDescent="0.25">
      <c r="A102" s="334"/>
      <c r="B102" s="334"/>
      <c r="C102" s="399" t="s">
        <v>672</v>
      </c>
      <c r="D102" s="334"/>
      <c r="E102" s="338"/>
      <c r="F102" s="331"/>
      <c r="G102" s="330"/>
      <c r="H102" s="341"/>
      <c r="I102" s="332"/>
    </row>
    <row r="103" spans="1:9" ht="12.75" customHeight="1" x14ac:dyDescent="0.25">
      <c r="A103" s="360"/>
      <c r="B103" s="360"/>
      <c r="C103" s="400" t="s">
        <v>1229</v>
      </c>
      <c r="D103" s="360"/>
      <c r="E103" s="362"/>
      <c r="F103" s="347"/>
      <c r="G103" s="346"/>
      <c r="H103" s="348"/>
      <c r="I103" s="349"/>
    </row>
    <row r="104" spans="1:9" ht="12.75" customHeight="1" x14ac:dyDescent="0.25">
      <c r="A104" s="370"/>
      <c r="B104" s="370"/>
      <c r="C104" s="371" t="s">
        <v>637</v>
      </c>
      <c r="D104" s="372"/>
      <c r="E104" s="373"/>
      <c r="F104" s="373"/>
      <c r="G104" s="374">
        <f>SUM(G77:G100)</f>
        <v>0</v>
      </c>
      <c r="H104" s="375"/>
      <c r="I104" s="374">
        <v>8.1600000000000006E-2</v>
      </c>
    </row>
    <row r="105" spans="1:9" ht="12.75" customHeight="1" x14ac:dyDescent="0.25">
      <c r="A105" s="334"/>
      <c r="B105" s="334"/>
      <c r="C105" s="376"/>
      <c r="D105" s="337"/>
      <c r="E105" s="338"/>
      <c r="F105" s="338"/>
      <c r="G105" s="377"/>
      <c r="H105" s="378"/>
      <c r="I105" s="377"/>
    </row>
    <row r="106" spans="1:9" ht="12.75" customHeight="1" x14ac:dyDescent="0.25">
      <c r="A106" s="334"/>
      <c r="B106" s="327">
        <v>998</v>
      </c>
      <c r="C106" s="327" t="s">
        <v>638</v>
      </c>
      <c r="D106" s="329"/>
      <c r="E106" s="330"/>
      <c r="F106" s="331"/>
      <c r="G106" s="330"/>
      <c r="H106" s="379"/>
      <c r="I106" s="380"/>
    </row>
    <row r="107" spans="1:9" ht="18" customHeight="1" x14ac:dyDescent="0.25">
      <c r="A107" s="334"/>
      <c r="B107" s="327" t="s">
        <v>639</v>
      </c>
      <c r="C107" s="327" t="s">
        <v>640</v>
      </c>
      <c r="D107" s="329" t="s">
        <v>267</v>
      </c>
      <c r="E107" s="332">
        <v>8.1600000000000006E-2</v>
      </c>
      <c r="F107" s="417"/>
      <c r="G107" s="330">
        <f>F107*E107</f>
        <v>0</v>
      </c>
      <c r="H107" s="379"/>
      <c r="I107" s="380"/>
    </row>
    <row r="108" spans="1:9" ht="30" customHeight="1" x14ac:dyDescent="0.25">
      <c r="A108" s="381"/>
      <c r="B108" s="381"/>
      <c r="C108" s="382" t="s">
        <v>673</v>
      </c>
      <c r="D108" s="383"/>
      <c r="E108" s="384"/>
      <c r="F108" s="384"/>
      <c r="G108" s="385">
        <f>G104+G107</f>
        <v>0</v>
      </c>
      <c r="H108" s="386"/>
      <c r="I108" s="387"/>
    </row>
    <row r="109" spans="1:9" ht="12.75" customHeight="1" x14ac:dyDescent="0.25">
      <c r="A109" s="334"/>
      <c r="B109" s="334"/>
      <c r="C109" s="327"/>
      <c r="D109" s="334"/>
      <c r="E109" s="338"/>
      <c r="F109" s="338"/>
      <c r="G109" s="338"/>
      <c r="H109" s="357"/>
      <c r="I109" s="358"/>
    </row>
    <row r="110" spans="1:9" ht="12.75" customHeight="1" x14ac:dyDescent="0.25">
      <c r="A110" s="334"/>
      <c r="B110" s="334"/>
      <c r="C110" s="401" t="s">
        <v>674</v>
      </c>
      <c r="D110" s="356"/>
      <c r="E110" s="338"/>
      <c r="F110" s="338"/>
      <c r="G110" s="402"/>
      <c r="H110" s="339"/>
      <c r="I110" s="358"/>
    </row>
    <row r="111" spans="1:9" ht="12.75" customHeight="1" x14ac:dyDescent="0.25">
      <c r="A111" s="334"/>
      <c r="B111" s="334"/>
      <c r="C111" s="336" t="s">
        <v>675</v>
      </c>
      <c r="D111" s="403" t="s">
        <v>406</v>
      </c>
      <c r="E111" s="330">
        <v>70</v>
      </c>
      <c r="F111" s="417"/>
      <c r="G111" s="330">
        <f>F111*E111</f>
        <v>0</v>
      </c>
      <c r="H111" s="378">
        <v>1E-3</v>
      </c>
      <c r="I111" s="332">
        <v>7.0000000000000007E-2</v>
      </c>
    </row>
    <row r="112" spans="1:9" ht="12.75" customHeight="1" x14ac:dyDescent="0.25">
      <c r="A112" s="360"/>
      <c r="B112" s="360"/>
      <c r="C112" s="344" t="s">
        <v>676</v>
      </c>
      <c r="D112" s="345"/>
      <c r="E112" s="346"/>
      <c r="F112" s="347"/>
      <c r="G112" s="346"/>
      <c r="H112" s="404"/>
      <c r="I112" s="349"/>
    </row>
    <row r="113" spans="1:9" ht="12" customHeight="1" x14ac:dyDescent="0.25">
      <c r="A113" s="360"/>
      <c r="B113" s="360"/>
      <c r="C113" s="344" t="s">
        <v>677</v>
      </c>
      <c r="D113" s="345" t="s">
        <v>406</v>
      </c>
      <c r="E113" s="346">
        <v>20</v>
      </c>
      <c r="F113" s="418"/>
      <c r="G113" s="346">
        <f>F113*E113</f>
        <v>0</v>
      </c>
      <c r="H113" s="404">
        <v>1E-3</v>
      </c>
      <c r="I113" s="349">
        <v>0.02</v>
      </c>
    </row>
    <row r="114" spans="1:9" ht="12.75" customHeight="1" x14ac:dyDescent="0.25">
      <c r="A114" s="405"/>
      <c r="B114" s="405"/>
      <c r="C114" s="351" t="s">
        <v>678</v>
      </c>
      <c r="D114" s="322" t="s">
        <v>679</v>
      </c>
      <c r="E114" s="323">
        <v>6</v>
      </c>
      <c r="F114" s="419"/>
      <c r="G114" s="346">
        <f>F114*E114</f>
        <v>0</v>
      </c>
      <c r="H114" s="406">
        <v>5.0000000000000001E-3</v>
      </c>
      <c r="I114" s="325">
        <v>0.03</v>
      </c>
    </row>
    <row r="115" spans="1:9" ht="12.75" customHeight="1" x14ac:dyDescent="0.25">
      <c r="A115" s="360"/>
      <c r="B115" s="360"/>
      <c r="C115" s="344" t="s">
        <v>680</v>
      </c>
      <c r="D115" s="345"/>
      <c r="E115" s="346"/>
      <c r="F115" s="347"/>
      <c r="G115" s="346"/>
      <c r="H115" s="404"/>
      <c r="I115" s="349"/>
    </row>
    <row r="116" spans="1:9" ht="12.75" customHeight="1" x14ac:dyDescent="0.25">
      <c r="A116" s="405"/>
      <c r="B116" s="405"/>
      <c r="C116" s="351" t="s">
        <v>678</v>
      </c>
      <c r="D116" s="322" t="s">
        <v>679</v>
      </c>
      <c r="E116" s="323">
        <v>2</v>
      </c>
      <c r="F116" s="419"/>
      <c r="G116" s="323">
        <f>F116*E116</f>
        <v>0</v>
      </c>
      <c r="H116" s="406">
        <v>5.0000000000000001E-3</v>
      </c>
      <c r="I116" s="325">
        <v>0.01</v>
      </c>
    </row>
    <row r="117" spans="1:9" ht="12.75" customHeight="1" x14ac:dyDescent="0.25">
      <c r="A117" s="360"/>
      <c r="B117" s="360"/>
      <c r="C117" s="344" t="s">
        <v>757</v>
      </c>
      <c r="D117" s="345"/>
      <c r="E117" s="346"/>
      <c r="F117" s="347"/>
      <c r="G117" s="346"/>
      <c r="H117" s="404"/>
      <c r="I117" s="349"/>
    </row>
    <row r="118" spans="1:9" ht="12.75" customHeight="1" x14ac:dyDescent="0.25">
      <c r="A118" s="405"/>
      <c r="B118" s="405"/>
      <c r="C118" s="351" t="s">
        <v>681</v>
      </c>
      <c r="D118" s="322" t="s">
        <v>679</v>
      </c>
      <c r="E118" s="323">
        <v>6</v>
      </c>
      <c r="F118" s="419"/>
      <c r="G118" s="323">
        <f>F118*E118</f>
        <v>0</v>
      </c>
      <c r="H118" s="392">
        <v>0.01</v>
      </c>
      <c r="I118" s="325">
        <v>0.06</v>
      </c>
    </row>
    <row r="119" spans="1:9" ht="12.75" customHeight="1" x14ac:dyDescent="0.25">
      <c r="A119" s="407"/>
      <c r="B119" s="407"/>
      <c r="C119" s="408" t="s">
        <v>682</v>
      </c>
      <c r="D119" s="409" t="s">
        <v>679</v>
      </c>
      <c r="E119" s="410">
        <v>6</v>
      </c>
      <c r="F119" s="420"/>
      <c r="G119" s="323">
        <f t="shared" ref="G119:G122" si="3">F119*E119</f>
        <v>0</v>
      </c>
      <c r="H119" s="411">
        <v>0</v>
      </c>
      <c r="I119" s="412">
        <v>0</v>
      </c>
    </row>
    <row r="120" spans="1:9" ht="12.75" customHeight="1" x14ac:dyDescent="0.25">
      <c r="A120" s="407"/>
      <c r="B120" s="407"/>
      <c r="C120" s="408" t="s">
        <v>683</v>
      </c>
      <c r="D120" s="409" t="s">
        <v>619</v>
      </c>
      <c r="E120" s="410">
        <v>1</v>
      </c>
      <c r="F120" s="420"/>
      <c r="G120" s="323">
        <f t="shared" si="3"/>
        <v>0</v>
      </c>
      <c r="H120" s="413">
        <v>0</v>
      </c>
      <c r="I120" s="412">
        <v>0</v>
      </c>
    </row>
    <row r="121" spans="1:9" ht="12.75" customHeight="1" x14ac:dyDescent="0.25">
      <c r="A121" s="334"/>
      <c r="B121" s="334"/>
      <c r="C121" s="336" t="s">
        <v>684</v>
      </c>
      <c r="D121" s="329" t="s">
        <v>619</v>
      </c>
      <c r="E121" s="330">
        <v>1</v>
      </c>
      <c r="F121" s="417"/>
      <c r="G121" s="323">
        <f t="shared" si="3"/>
        <v>0</v>
      </c>
      <c r="H121" s="378">
        <v>0</v>
      </c>
      <c r="I121" s="332">
        <v>0</v>
      </c>
    </row>
    <row r="122" spans="1:9" ht="12.75" customHeight="1" x14ac:dyDescent="0.25">
      <c r="A122" s="407"/>
      <c r="B122" s="407"/>
      <c r="C122" s="408" t="s">
        <v>685</v>
      </c>
      <c r="D122" s="414" t="s">
        <v>686</v>
      </c>
      <c r="E122" s="410">
        <v>5</v>
      </c>
      <c r="F122" s="420"/>
      <c r="G122" s="323">
        <f t="shared" si="3"/>
        <v>0</v>
      </c>
      <c r="H122" s="413">
        <v>0</v>
      </c>
      <c r="I122" s="412">
        <v>0</v>
      </c>
    </row>
    <row r="123" spans="1:9" ht="12.75" customHeight="1" x14ac:dyDescent="0.25">
      <c r="A123" s="370"/>
      <c r="B123" s="370"/>
      <c r="C123" s="371" t="s">
        <v>637</v>
      </c>
      <c r="D123" s="372"/>
      <c r="E123" s="373"/>
      <c r="F123" s="373"/>
      <c r="G123" s="374">
        <f>SUM(G111:G122)</f>
        <v>0</v>
      </c>
      <c r="H123" s="375"/>
      <c r="I123" s="374">
        <v>0.19</v>
      </c>
    </row>
    <row r="124" spans="1:9" ht="12.75" customHeight="1" x14ac:dyDescent="0.25">
      <c r="A124" s="334"/>
      <c r="B124" s="334"/>
      <c r="C124" s="376"/>
      <c r="D124" s="337"/>
      <c r="E124" s="338"/>
      <c r="F124" s="338"/>
      <c r="G124" s="377"/>
      <c r="H124" s="378"/>
      <c r="I124" s="377"/>
    </row>
    <row r="125" spans="1:9" ht="12.75" customHeight="1" x14ac:dyDescent="0.25">
      <c r="A125" s="334"/>
      <c r="B125" s="327">
        <v>998</v>
      </c>
      <c r="C125" s="327" t="s">
        <v>638</v>
      </c>
      <c r="D125" s="329"/>
      <c r="E125" s="330"/>
      <c r="F125" s="331"/>
      <c r="G125" s="330"/>
      <c r="H125" s="339"/>
      <c r="I125" s="358"/>
    </row>
    <row r="126" spans="1:9" ht="12.75" customHeight="1" x14ac:dyDescent="0.25">
      <c r="A126" s="334"/>
      <c r="B126" s="327" t="s">
        <v>639</v>
      </c>
      <c r="C126" s="327" t="s">
        <v>640</v>
      </c>
      <c r="D126" s="329" t="s">
        <v>267</v>
      </c>
      <c r="E126" s="332">
        <v>0.19</v>
      </c>
      <c r="F126" s="417"/>
      <c r="G126" s="330">
        <f>F126*E126</f>
        <v>0</v>
      </c>
      <c r="H126" s="339"/>
      <c r="I126" s="358"/>
    </row>
    <row r="127" spans="1:9" ht="33" customHeight="1" x14ac:dyDescent="0.25">
      <c r="A127" s="381"/>
      <c r="B127" s="381"/>
      <c r="C127" s="382" t="s">
        <v>687</v>
      </c>
      <c r="D127" s="383"/>
      <c r="E127" s="384"/>
      <c r="F127" s="384"/>
      <c r="G127" s="385">
        <f>G126+G123</f>
        <v>0</v>
      </c>
      <c r="H127" s="415"/>
      <c r="I127" s="416"/>
    </row>
    <row r="128" spans="1:9" ht="12.75" customHeight="1" x14ac:dyDescent="0.25">
      <c r="A128" s="200"/>
      <c r="B128" s="200"/>
      <c r="C128" s="204"/>
      <c r="D128" s="205"/>
      <c r="E128" s="201"/>
      <c r="F128" s="201"/>
      <c r="G128" s="201"/>
      <c r="H128" s="202"/>
      <c r="I128" s="203"/>
    </row>
    <row r="129" spans="1:9" ht="12.75" customHeight="1" x14ac:dyDescent="0.25">
      <c r="A129" s="200"/>
      <c r="B129" s="200"/>
      <c r="C129" s="204"/>
      <c r="D129" s="205"/>
      <c r="E129" s="201"/>
      <c r="F129" s="201"/>
      <c r="G129" s="201"/>
      <c r="H129" s="202"/>
      <c r="I129" s="203"/>
    </row>
    <row r="130" spans="1:9" ht="12.75" customHeight="1" x14ac:dyDescent="0.25">
      <c r="A130" s="200"/>
      <c r="B130" s="200"/>
      <c r="C130" s="204"/>
      <c r="D130" s="205"/>
      <c r="E130" s="201"/>
      <c r="F130" s="201"/>
      <c r="G130" s="201"/>
      <c r="H130" s="202"/>
      <c r="I130" s="203"/>
    </row>
    <row r="131" spans="1:9" ht="12.75" customHeight="1" x14ac:dyDescent="0.25">
      <c r="A131" s="200"/>
      <c r="B131" s="200"/>
      <c r="C131" s="204"/>
      <c r="D131" s="205"/>
      <c r="E131" s="201"/>
      <c r="F131" s="201"/>
      <c r="G131" s="201"/>
      <c r="H131" s="202"/>
      <c r="I131" s="203"/>
    </row>
    <row r="132" spans="1:9" ht="12.75" customHeight="1" x14ac:dyDescent="0.25">
      <c r="A132" s="198"/>
      <c r="B132" s="198"/>
      <c r="C132" s="198"/>
      <c r="D132" s="206"/>
      <c r="E132" s="198"/>
      <c r="F132" s="198"/>
      <c r="G132" s="198"/>
      <c r="H132" s="198"/>
      <c r="I132" s="198"/>
    </row>
    <row r="133" spans="1:9" ht="12.75" customHeight="1" x14ac:dyDescent="0.25">
      <c r="A133" s="198"/>
      <c r="B133" s="198"/>
      <c r="C133" s="198"/>
      <c r="D133" s="206"/>
      <c r="E133" s="198"/>
      <c r="F133" s="198"/>
      <c r="G133" s="198"/>
      <c r="H133" s="198"/>
      <c r="I133" s="198"/>
    </row>
    <row r="134" spans="1:9" ht="12.75" customHeight="1" x14ac:dyDescent="0.25">
      <c r="A134" s="198"/>
      <c r="B134" s="198"/>
      <c r="C134" s="198"/>
      <c r="D134" s="206"/>
      <c r="E134" s="198"/>
      <c r="F134" s="198"/>
      <c r="G134" s="198"/>
      <c r="H134" s="198"/>
      <c r="I134" s="198"/>
    </row>
    <row r="135" spans="1:9" ht="12.75" customHeight="1" x14ac:dyDescent="0.25">
      <c r="A135" s="198"/>
      <c r="B135" s="198"/>
      <c r="C135" s="198"/>
      <c r="D135" s="206"/>
      <c r="E135" s="198"/>
      <c r="F135" s="198"/>
      <c r="G135" s="198"/>
      <c r="H135" s="198"/>
      <c r="I135" s="198"/>
    </row>
    <row r="136" spans="1:9" ht="12.75" customHeight="1" x14ac:dyDescent="0.25">
      <c r="A136" s="198"/>
      <c r="B136" s="198"/>
      <c r="C136" s="198"/>
      <c r="D136" s="206"/>
      <c r="E136" s="198"/>
      <c r="F136" s="198"/>
      <c r="G136" s="198"/>
      <c r="H136" s="198"/>
      <c r="I136" s="198"/>
    </row>
    <row r="137" spans="1:9" ht="12.75" customHeight="1" x14ac:dyDescent="0.25">
      <c r="A137" s="198"/>
      <c r="B137" s="198"/>
      <c r="C137" s="198"/>
      <c r="D137" s="206"/>
      <c r="E137" s="198"/>
      <c r="F137" s="198"/>
      <c r="G137" s="198"/>
      <c r="H137" s="198"/>
      <c r="I137" s="198"/>
    </row>
    <row r="138" spans="1:9" ht="12.75" customHeight="1" x14ac:dyDescent="0.25">
      <c r="A138" s="198"/>
      <c r="B138" s="198"/>
      <c r="C138" s="198"/>
      <c r="D138" s="206"/>
      <c r="E138" s="198"/>
      <c r="F138" s="198"/>
      <c r="G138" s="198"/>
      <c r="H138" s="198"/>
      <c r="I138" s="198"/>
    </row>
    <row r="139" spans="1:9" ht="12.75" customHeight="1" x14ac:dyDescent="0.25">
      <c r="A139" s="198"/>
      <c r="B139" s="198"/>
      <c r="C139" s="198"/>
      <c r="D139" s="206"/>
      <c r="E139" s="198"/>
      <c r="F139" s="198"/>
      <c r="G139" s="198"/>
      <c r="H139" s="198"/>
      <c r="I139" s="198"/>
    </row>
    <row r="140" spans="1:9" ht="12.75" customHeight="1" x14ac:dyDescent="0.25">
      <c r="A140" s="198"/>
      <c r="B140" s="198"/>
      <c r="C140" s="198"/>
      <c r="D140" s="206"/>
      <c r="E140" s="198"/>
      <c r="F140" s="198"/>
      <c r="G140" s="198"/>
      <c r="H140" s="198"/>
      <c r="I140" s="198"/>
    </row>
    <row r="141" spans="1:9" ht="12.75" customHeight="1" x14ac:dyDescent="0.25">
      <c r="A141" s="198"/>
      <c r="B141" s="198"/>
      <c r="C141" s="198"/>
      <c r="D141" s="206"/>
      <c r="E141" s="198"/>
      <c r="F141" s="198"/>
      <c r="G141" s="198"/>
      <c r="H141" s="198"/>
      <c r="I141" s="198"/>
    </row>
    <row r="142" spans="1:9" ht="12.75" customHeight="1" x14ac:dyDescent="0.25">
      <c r="A142" s="198"/>
      <c r="B142" s="198"/>
      <c r="C142" s="198"/>
      <c r="D142" s="206"/>
      <c r="E142" s="198"/>
      <c r="F142" s="198"/>
      <c r="G142" s="198"/>
      <c r="H142" s="198"/>
      <c r="I142" s="198"/>
    </row>
    <row r="143" spans="1:9" ht="12.75" customHeight="1" x14ac:dyDescent="0.25">
      <c r="A143" s="198"/>
      <c r="B143" s="198"/>
      <c r="C143" s="198"/>
      <c r="D143" s="206"/>
      <c r="E143" s="198"/>
      <c r="F143" s="198"/>
      <c r="G143" s="198"/>
      <c r="H143" s="198"/>
      <c r="I143" s="198"/>
    </row>
    <row r="144" spans="1:9" ht="12.75" customHeight="1" x14ac:dyDescent="0.25">
      <c r="A144" s="198"/>
      <c r="B144" s="198"/>
      <c r="C144" s="198"/>
      <c r="D144" s="206"/>
      <c r="E144" s="198"/>
      <c r="F144" s="198"/>
      <c r="G144" s="198"/>
      <c r="H144" s="198"/>
      <c r="I144" s="198"/>
    </row>
    <row r="145" spans="1:9" ht="12.75" customHeight="1" x14ac:dyDescent="0.25">
      <c r="A145" s="198"/>
      <c r="B145" s="198"/>
      <c r="C145" s="198"/>
      <c r="D145" s="206"/>
      <c r="E145" s="198"/>
      <c r="F145" s="198"/>
      <c r="G145" s="198"/>
      <c r="H145" s="198"/>
      <c r="I145" s="198"/>
    </row>
    <row r="146" spans="1:9" ht="12.75" customHeight="1" x14ac:dyDescent="0.25">
      <c r="A146" s="198"/>
      <c r="B146" s="198"/>
      <c r="C146" s="198"/>
      <c r="D146" s="206"/>
      <c r="E146" s="198"/>
      <c r="F146" s="198"/>
      <c r="G146" s="198"/>
      <c r="H146" s="198"/>
      <c r="I146" s="198"/>
    </row>
    <row r="147" spans="1:9" ht="12.75" customHeight="1" x14ac:dyDescent="0.25">
      <c r="A147" s="198"/>
      <c r="B147" s="198"/>
      <c r="C147" s="198"/>
      <c r="D147" s="206"/>
      <c r="E147" s="198"/>
      <c r="F147" s="198"/>
      <c r="G147" s="198"/>
      <c r="H147" s="198"/>
      <c r="I147" s="198"/>
    </row>
    <row r="148" spans="1:9" x14ac:dyDescent="0.25">
      <c r="A148" s="198"/>
      <c r="B148" s="198"/>
      <c r="C148" s="198"/>
      <c r="D148" s="206"/>
      <c r="E148" s="198"/>
      <c r="F148" s="198"/>
      <c r="G148" s="198"/>
      <c r="H148" s="198"/>
      <c r="I148" s="198"/>
    </row>
    <row r="149" spans="1:9" x14ac:dyDescent="0.25">
      <c r="A149" s="198"/>
      <c r="B149" s="198"/>
      <c r="C149" s="198"/>
      <c r="D149" s="206"/>
      <c r="E149" s="198"/>
      <c r="F149" s="198"/>
      <c r="G149" s="198"/>
      <c r="H149" s="198"/>
      <c r="I149" s="198"/>
    </row>
    <row r="150" spans="1:9" x14ac:dyDescent="0.25">
      <c r="A150" s="198"/>
      <c r="B150" s="198"/>
      <c r="C150" s="198"/>
      <c r="D150" s="206"/>
      <c r="E150" s="198"/>
      <c r="F150" s="198"/>
      <c r="G150" s="198"/>
      <c r="H150" s="198"/>
      <c r="I150" s="198"/>
    </row>
    <row r="151" spans="1:9" x14ac:dyDescent="0.25">
      <c r="A151" s="198"/>
      <c r="B151" s="198"/>
      <c r="C151" s="198"/>
      <c r="D151" s="206"/>
      <c r="E151" s="198"/>
      <c r="F151" s="198"/>
      <c r="G151" s="198"/>
      <c r="H151" s="198"/>
      <c r="I151" s="198"/>
    </row>
    <row r="152" spans="1:9" x14ac:dyDescent="0.25">
      <c r="A152" s="198"/>
      <c r="B152" s="198"/>
      <c r="C152" s="198"/>
      <c r="D152" s="206"/>
      <c r="E152" s="198"/>
      <c r="F152" s="198"/>
      <c r="G152" s="198"/>
      <c r="H152" s="198"/>
      <c r="I152" s="198"/>
    </row>
    <row r="153" spans="1:9" x14ac:dyDescent="0.25">
      <c r="A153" s="198"/>
      <c r="B153" s="198"/>
      <c r="C153" s="198"/>
      <c r="D153" s="206"/>
      <c r="E153" s="198"/>
      <c r="F153" s="198"/>
      <c r="G153" s="198"/>
      <c r="H153" s="198"/>
      <c r="I153" s="198"/>
    </row>
    <row r="154" spans="1:9" x14ac:dyDescent="0.25">
      <c r="A154" s="198"/>
      <c r="B154" s="198"/>
      <c r="C154" s="198"/>
      <c r="D154" s="206"/>
      <c r="E154" s="198"/>
      <c r="F154" s="198"/>
      <c r="G154" s="198"/>
      <c r="H154" s="198"/>
      <c r="I154" s="198"/>
    </row>
    <row r="155" spans="1:9" x14ac:dyDescent="0.25">
      <c r="A155" s="198"/>
      <c r="B155" s="198"/>
      <c r="C155" s="198"/>
      <c r="D155" s="206"/>
      <c r="E155" s="198"/>
      <c r="F155" s="198"/>
      <c r="G155" s="198"/>
      <c r="H155" s="198"/>
      <c r="I155" s="198"/>
    </row>
    <row r="156" spans="1:9" x14ac:dyDescent="0.25">
      <c r="A156" s="198"/>
      <c r="B156" s="198"/>
      <c r="C156" s="198"/>
      <c r="D156" s="206"/>
      <c r="E156" s="198"/>
      <c r="F156" s="198"/>
      <c r="G156" s="198"/>
      <c r="H156" s="198"/>
      <c r="I156" s="198"/>
    </row>
    <row r="157" spans="1:9" x14ac:dyDescent="0.25">
      <c r="A157" s="198"/>
      <c r="B157" s="198"/>
      <c r="C157" s="198"/>
      <c r="D157" s="206"/>
      <c r="E157" s="198"/>
      <c r="F157" s="198"/>
      <c r="G157" s="198"/>
      <c r="H157" s="198"/>
      <c r="I157" s="198"/>
    </row>
    <row r="158" spans="1:9" x14ac:dyDescent="0.25">
      <c r="A158" s="198"/>
      <c r="B158" s="198"/>
      <c r="C158" s="198"/>
      <c r="D158" s="206"/>
      <c r="E158" s="198"/>
      <c r="F158" s="198"/>
      <c r="G158" s="198"/>
      <c r="H158" s="198"/>
      <c r="I158" s="198"/>
    </row>
    <row r="159" spans="1:9" x14ac:dyDescent="0.25">
      <c r="A159" s="198"/>
      <c r="B159" s="198"/>
      <c r="C159" s="198"/>
      <c r="D159" s="206"/>
      <c r="E159" s="198"/>
      <c r="F159" s="198"/>
      <c r="G159" s="198"/>
      <c r="H159" s="198"/>
      <c r="I159" s="198"/>
    </row>
    <row r="160" spans="1:9" x14ac:dyDescent="0.25">
      <c r="A160" s="198"/>
      <c r="B160" s="198"/>
      <c r="C160" s="198"/>
      <c r="D160" s="206"/>
      <c r="E160" s="198"/>
      <c r="F160" s="198"/>
      <c r="G160" s="198"/>
      <c r="H160" s="198"/>
      <c r="I160" s="198"/>
    </row>
    <row r="161" spans="1:9" x14ac:dyDescent="0.25">
      <c r="A161" s="198"/>
      <c r="B161" s="198"/>
      <c r="C161" s="198"/>
      <c r="D161" s="206"/>
      <c r="E161" s="198"/>
      <c r="F161" s="198"/>
      <c r="G161" s="198"/>
      <c r="H161" s="198"/>
      <c r="I161" s="198"/>
    </row>
    <row r="162" spans="1:9" x14ac:dyDescent="0.25">
      <c r="A162" s="198"/>
      <c r="B162" s="198"/>
      <c r="C162" s="198"/>
      <c r="D162" s="206"/>
      <c r="E162" s="198"/>
      <c r="F162" s="198"/>
      <c r="G162" s="198"/>
      <c r="H162" s="198"/>
      <c r="I162" s="198"/>
    </row>
    <row r="163" spans="1:9" x14ac:dyDescent="0.25">
      <c r="A163" s="198"/>
      <c r="B163" s="198"/>
      <c r="C163" s="198"/>
      <c r="D163" s="206"/>
      <c r="E163" s="198"/>
      <c r="F163" s="198"/>
      <c r="G163" s="198"/>
      <c r="H163" s="198"/>
      <c r="I163" s="198"/>
    </row>
    <row r="164" spans="1:9" x14ac:dyDescent="0.25">
      <c r="A164" s="198"/>
      <c r="B164" s="198"/>
      <c r="C164" s="198"/>
      <c r="D164" s="206"/>
      <c r="E164" s="198"/>
      <c r="F164" s="198"/>
      <c r="G164" s="198"/>
      <c r="H164" s="198"/>
      <c r="I164" s="198"/>
    </row>
    <row r="165" spans="1:9" x14ac:dyDescent="0.25">
      <c r="A165" s="198"/>
      <c r="B165" s="198"/>
      <c r="C165" s="198"/>
      <c r="D165" s="206"/>
      <c r="E165" s="198"/>
      <c r="F165" s="198"/>
      <c r="G165" s="198"/>
      <c r="H165" s="198"/>
      <c r="I165" s="198"/>
    </row>
    <row r="166" spans="1:9" x14ac:dyDescent="0.25">
      <c r="A166" s="198"/>
      <c r="B166" s="198"/>
      <c r="C166" s="198"/>
      <c r="D166" s="206"/>
      <c r="E166" s="198"/>
      <c r="F166" s="198"/>
      <c r="G166" s="198"/>
      <c r="H166" s="198"/>
      <c r="I166" s="198"/>
    </row>
    <row r="167" spans="1:9" x14ac:dyDescent="0.25">
      <c r="A167" s="198"/>
      <c r="B167" s="198"/>
      <c r="C167" s="198"/>
      <c r="D167" s="206"/>
      <c r="E167" s="198"/>
      <c r="F167" s="198"/>
      <c r="G167" s="198"/>
      <c r="H167" s="198"/>
      <c r="I167" s="198"/>
    </row>
    <row r="168" spans="1:9" x14ac:dyDescent="0.25">
      <c r="A168" s="198"/>
      <c r="B168" s="198"/>
      <c r="C168" s="198"/>
      <c r="D168" s="206"/>
      <c r="E168" s="198"/>
      <c r="F168" s="198"/>
      <c r="G168" s="198"/>
      <c r="H168" s="198"/>
      <c r="I168" s="198"/>
    </row>
    <row r="169" spans="1:9" x14ac:dyDescent="0.25">
      <c r="A169" s="198"/>
      <c r="B169" s="198"/>
      <c r="C169" s="198"/>
      <c r="D169" s="206"/>
      <c r="E169" s="198"/>
      <c r="F169" s="198"/>
      <c r="G169" s="198"/>
      <c r="H169" s="198"/>
      <c r="I169" s="198"/>
    </row>
    <row r="170" spans="1:9" x14ac:dyDescent="0.25">
      <c r="A170" s="198"/>
      <c r="B170" s="198"/>
      <c r="C170" s="198"/>
      <c r="D170" s="206"/>
      <c r="E170" s="198"/>
      <c r="F170" s="198"/>
      <c r="G170" s="198"/>
      <c r="H170" s="198"/>
      <c r="I170" s="198"/>
    </row>
    <row r="171" spans="1:9" x14ac:dyDescent="0.25">
      <c r="A171" s="198"/>
      <c r="B171" s="198"/>
      <c r="C171" s="198"/>
      <c r="D171" s="206"/>
      <c r="E171" s="198"/>
      <c r="F171" s="198"/>
      <c r="G171" s="198"/>
      <c r="H171" s="198"/>
      <c r="I171" s="198"/>
    </row>
    <row r="172" spans="1:9" x14ac:dyDescent="0.25">
      <c r="A172" s="198"/>
      <c r="B172" s="198"/>
      <c r="C172" s="198"/>
      <c r="D172" s="206"/>
      <c r="E172" s="198"/>
      <c r="F172" s="198"/>
      <c r="G172" s="198"/>
      <c r="H172" s="198"/>
      <c r="I172" s="198"/>
    </row>
    <row r="173" spans="1:9" x14ac:dyDescent="0.25">
      <c r="A173" s="198"/>
      <c r="B173" s="198"/>
      <c r="C173" s="198"/>
      <c r="D173" s="206"/>
      <c r="E173" s="198"/>
      <c r="F173" s="198"/>
      <c r="G173" s="198"/>
      <c r="H173" s="198"/>
      <c r="I173" s="198"/>
    </row>
    <row r="174" spans="1:9" x14ac:dyDescent="0.25">
      <c r="A174" s="198"/>
      <c r="B174" s="198"/>
      <c r="C174" s="198"/>
      <c r="D174" s="206"/>
      <c r="E174" s="198"/>
      <c r="F174" s="198"/>
      <c r="G174" s="198"/>
      <c r="H174" s="198"/>
      <c r="I174" s="198"/>
    </row>
    <row r="175" spans="1:9" x14ac:dyDescent="0.25">
      <c r="A175" s="198"/>
      <c r="B175" s="198"/>
      <c r="C175" s="198"/>
      <c r="D175" s="206"/>
      <c r="E175" s="198"/>
      <c r="F175" s="198"/>
      <c r="G175" s="198"/>
      <c r="H175" s="198"/>
      <c r="I175" s="198"/>
    </row>
    <row r="176" spans="1:9" x14ac:dyDescent="0.25">
      <c r="A176" s="198"/>
      <c r="B176" s="198"/>
      <c r="C176" s="198"/>
      <c r="D176" s="206"/>
      <c r="E176" s="198"/>
      <c r="F176" s="198"/>
      <c r="G176" s="198"/>
      <c r="H176" s="198"/>
      <c r="I176" s="198"/>
    </row>
    <row r="177" spans="1:9" x14ac:dyDescent="0.25">
      <c r="A177" s="198"/>
      <c r="B177" s="198"/>
      <c r="C177" s="198"/>
      <c r="D177" s="206"/>
      <c r="E177" s="198"/>
      <c r="F177" s="198"/>
      <c r="G177" s="198"/>
      <c r="H177" s="198"/>
      <c r="I177" s="198"/>
    </row>
    <row r="178" spans="1:9" x14ac:dyDescent="0.25">
      <c r="A178" s="198"/>
      <c r="B178" s="198"/>
      <c r="C178" s="198"/>
      <c r="D178" s="206"/>
      <c r="E178" s="198"/>
      <c r="F178" s="198"/>
      <c r="G178" s="198"/>
      <c r="H178" s="198"/>
      <c r="I178" s="198"/>
    </row>
    <row r="179" spans="1:9" x14ac:dyDescent="0.25">
      <c r="A179" s="198"/>
      <c r="B179" s="198"/>
      <c r="C179" s="198"/>
      <c r="D179" s="206"/>
      <c r="E179" s="198"/>
      <c r="F179" s="198"/>
      <c r="G179" s="198"/>
      <c r="H179" s="198"/>
      <c r="I179" s="198"/>
    </row>
    <row r="180" spans="1:9" x14ac:dyDescent="0.25">
      <c r="A180" s="198"/>
      <c r="B180" s="198"/>
      <c r="C180" s="198"/>
      <c r="D180" s="206"/>
      <c r="E180" s="198"/>
      <c r="F180" s="198"/>
      <c r="G180" s="198"/>
      <c r="H180" s="198"/>
      <c r="I180" s="198"/>
    </row>
    <row r="181" spans="1:9" x14ac:dyDescent="0.25">
      <c r="A181" s="198"/>
      <c r="B181" s="198"/>
      <c r="C181" s="198"/>
      <c r="D181" s="206"/>
      <c r="E181" s="198"/>
      <c r="F181" s="198"/>
      <c r="G181" s="198"/>
      <c r="H181" s="198"/>
      <c r="I181" s="198"/>
    </row>
    <row r="182" spans="1:9" x14ac:dyDescent="0.25">
      <c r="A182" s="198"/>
      <c r="B182" s="198"/>
      <c r="C182" s="198"/>
      <c r="D182" s="206"/>
      <c r="E182" s="198"/>
      <c r="F182" s="198"/>
      <c r="G182" s="198"/>
      <c r="H182" s="198"/>
      <c r="I182" s="198"/>
    </row>
    <row r="183" spans="1:9" x14ac:dyDescent="0.25">
      <c r="A183" s="198"/>
      <c r="B183" s="198"/>
      <c r="C183" s="198"/>
      <c r="D183" s="206"/>
      <c r="E183" s="198"/>
      <c r="F183" s="198"/>
      <c r="G183" s="198"/>
      <c r="H183" s="198"/>
      <c r="I183" s="198"/>
    </row>
    <row r="184" spans="1:9" x14ac:dyDescent="0.25">
      <c r="A184" s="198"/>
      <c r="B184" s="198"/>
      <c r="C184" s="198"/>
      <c r="D184" s="206"/>
      <c r="E184" s="198"/>
      <c r="F184" s="198"/>
      <c r="G184" s="198"/>
      <c r="H184" s="198"/>
      <c r="I184" s="198"/>
    </row>
    <row r="185" spans="1:9" x14ac:dyDescent="0.25">
      <c r="A185" s="198"/>
      <c r="B185" s="198"/>
      <c r="C185" s="198"/>
      <c r="D185" s="206"/>
      <c r="E185" s="198"/>
      <c r="F185" s="198"/>
      <c r="G185" s="198"/>
      <c r="H185" s="198"/>
      <c r="I185" s="198"/>
    </row>
    <row r="186" spans="1:9" x14ac:dyDescent="0.25">
      <c r="A186" s="198"/>
      <c r="B186" s="198"/>
      <c r="C186" s="198"/>
      <c r="D186" s="206"/>
      <c r="E186" s="198"/>
      <c r="F186" s="198"/>
      <c r="G186" s="198"/>
      <c r="H186" s="198"/>
      <c r="I186" s="198"/>
    </row>
    <row r="187" spans="1:9" x14ac:dyDescent="0.25">
      <c r="A187" s="198"/>
      <c r="B187" s="198"/>
      <c r="C187" s="198"/>
      <c r="D187" s="206"/>
      <c r="E187" s="198"/>
      <c r="F187" s="198"/>
      <c r="G187" s="198"/>
      <c r="H187" s="198"/>
      <c r="I187" s="198"/>
    </row>
    <row r="188" spans="1:9" x14ac:dyDescent="0.25">
      <c r="A188" s="198"/>
      <c r="B188" s="198"/>
      <c r="C188" s="198"/>
      <c r="D188" s="206"/>
      <c r="E188" s="198"/>
      <c r="F188" s="198"/>
      <c r="G188" s="198"/>
      <c r="H188" s="198"/>
      <c r="I188" s="198"/>
    </row>
    <row r="189" spans="1:9" x14ac:dyDescent="0.25">
      <c r="A189" s="198"/>
      <c r="B189" s="198"/>
      <c r="C189" s="198"/>
      <c r="D189" s="206"/>
      <c r="E189" s="198"/>
      <c r="F189" s="198"/>
      <c r="G189" s="198"/>
      <c r="H189" s="198"/>
      <c r="I189" s="198"/>
    </row>
    <row r="190" spans="1:9" x14ac:dyDescent="0.25">
      <c r="A190" s="198"/>
      <c r="B190" s="198"/>
      <c r="C190" s="198"/>
      <c r="D190" s="206"/>
      <c r="E190" s="198"/>
      <c r="F190" s="198"/>
      <c r="G190" s="198"/>
      <c r="H190" s="198"/>
      <c r="I190" s="198"/>
    </row>
    <row r="191" spans="1:9" x14ac:dyDescent="0.25">
      <c r="A191" s="198"/>
      <c r="B191" s="198"/>
      <c r="C191" s="198"/>
      <c r="D191" s="206"/>
      <c r="E191" s="198"/>
      <c r="F191" s="198"/>
      <c r="G191" s="198"/>
      <c r="H191" s="198"/>
      <c r="I191" s="198"/>
    </row>
    <row r="192" spans="1:9" x14ac:dyDescent="0.25">
      <c r="A192" s="198"/>
      <c r="B192" s="198"/>
      <c r="C192" s="198"/>
      <c r="D192" s="206"/>
      <c r="E192" s="198"/>
      <c r="F192" s="198"/>
      <c r="G192" s="198"/>
      <c r="H192" s="198"/>
      <c r="I192" s="198"/>
    </row>
    <row r="193" spans="1:9" x14ac:dyDescent="0.25">
      <c r="A193" s="198"/>
      <c r="B193" s="198"/>
      <c r="C193" s="198"/>
      <c r="D193" s="206"/>
      <c r="E193" s="198"/>
      <c r="F193" s="198"/>
      <c r="G193" s="198"/>
      <c r="H193" s="198"/>
      <c r="I193" s="198"/>
    </row>
    <row r="194" spans="1:9" x14ac:dyDescent="0.25">
      <c r="A194" s="198"/>
      <c r="B194" s="198"/>
      <c r="C194" s="198"/>
      <c r="D194" s="206"/>
      <c r="E194" s="198"/>
      <c r="F194" s="198"/>
      <c r="G194" s="198"/>
      <c r="H194" s="198"/>
      <c r="I194" s="198"/>
    </row>
    <row r="195" spans="1:9" x14ac:dyDescent="0.25">
      <c r="A195" s="198"/>
      <c r="B195" s="198"/>
      <c r="C195" s="198"/>
      <c r="D195" s="206"/>
      <c r="E195" s="198"/>
      <c r="F195" s="198"/>
      <c r="G195" s="198"/>
      <c r="H195" s="198"/>
      <c r="I195" s="198"/>
    </row>
    <row r="196" spans="1:9" x14ac:dyDescent="0.25">
      <c r="A196" s="198"/>
      <c r="B196" s="198"/>
      <c r="C196" s="198"/>
      <c r="D196" s="206"/>
      <c r="E196" s="198"/>
      <c r="F196" s="198"/>
      <c r="G196" s="198"/>
      <c r="H196" s="198"/>
      <c r="I196" s="198"/>
    </row>
    <row r="197" spans="1:9" x14ac:dyDescent="0.25">
      <c r="A197" s="198"/>
      <c r="B197" s="198"/>
      <c r="C197" s="198"/>
      <c r="D197" s="206"/>
      <c r="E197" s="198"/>
      <c r="F197" s="198"/>
      <c r="G197" s="198"/>
      <c r="H197" s="198"/>
      <c r="I197" s="198"/>
    </row>
    <row r="198" spans="1:9" x14ac:dyDescent="0.25">
      <c r="A198" s="198"/>
      <c r="B198" s="198"/>
      <c r="C198" s="198"/>
      <c r="D198" s="206"/>
      <c r="E198" s="198"/>
      <c r="F198" s="198"/>
      <c r="G198" s="198"/>
      <c r="H198" s="198"/>
      <c r="I198" s="198"/>
    </row>
    <row r="199" spans="1:9" x14ac:dyDescent="0.25">
      <c r="A199" s="198"/>
      <c r="B199" s="198"/>
      <c r="C199" s="198"/>
      <c r="D199" s="206"/>
      <c r="E199" s="198"/>
      <c r="F199" s="198"/>
      <c r="G199" s="198"/>
      <c r="H199" s="198"/>
      <c r="I199" s="198"/>
    </row>
    <row r="200" spans="1:9" x14ac:dyDescent="0.25">
      <c r="A200" s="198"/>
      <c r="B200" s="198"/>
      <c r="C200" s="198"/>
      <c r="D200" s="206"/>
      <c r="E200" s="198"/>
      <c r="F200" s="198"/>
      <c r="G200" s="198"/>
      <c r="H200" s="198"/>
      <c r="I200" s="198"/>
    </row>
    <row r="201" spans="1:9" x14ac:dyDescent="0.25">
      <c r="A201" s="198"/>
      <c r="B201" s="198"/>
      <c r="C201" s="198"/>
      <c r="D201" s="206"/>
      <c r="E201" s="198"/>
      <c r="F201" s="198"/>
      <c r="G201" s="198"/>
      <c r="H201" s="198"/>
      <c r="I201" s="198"/>
    </row>
    <row r="202" spans="1:9" x14ac:dyDescent="0.25">
      <c r="A202" s="198"/>
      <c r="B202" s="198"/>
      <c r="C202" s="198"/>
      <c r="D202" s="206"/>
      <c r="E202" s="198"/>
      <c r="F202" s="198"/>
      <c r="G202" s="198"/>
      <c r="H202" s="198"/>
      <c r="I202" s="198"/>
    </row>
    <row r="203" spans="1:9" x14ac:dyDescent="0.25">
      <c r="A203" s="198"/>
      <c r="B203" s="198"/>
      <c r="C203" s="198"/>
      <c r="D203" s="206"/>
      <c r="E203" s="198"/>
      <c r="F203" s="198"/>
      <c r="G203" s="198"/>
      <c r="H203" s="198"/>
      <c r="I203" s="198"/>
    </row>
    <row r="204" spans="1:9" x14ac:dyDescent="0.25">
      <c r="A204" s="198"/>
      <c r="B204" s="198"/>
      <c r="C204" s="198"/>
      <c r="D204" s="206"/>
      <c r="E204" s="198"/>
      <c r="F204" s="198"/>
      <c r="G204" s="198"/>
      <c r="H204" s="198"/>
      <c r="I204" s="198"/>
    </row>
    <row r="205" spans="1:9" x14ac:dyDescent="0.25">
      <c r="A205" s="198"/>
      <c r="B205" s="198"/>
      <c r="C205" s="198"/>
      <c r="D205" s="206"/>
      <c r="E205" s="198"/>
      <c r="F205" s="198"/>
      <c r="G205" s="198"/>
      <c r="H205" s="198"/>
      <c r="I205" s="198"/>
    </row>
    <row r="206" spans="1:9" x14ac:dyDescent="0.25">
      <c r="A206" s="198"/>
      <c r="B206" s="198"/>
      <c r="C206" s="198"/>
      <c r="D206" s="206"/>
      <c r="E206" s="198"/>
      <c r="F206" s="198"/>
      <c r="G206" s="198"/>
      <c r="H206" s="198"/>
      <c r="I206" s="198"/>
    </row>
    <row r="207" spans="1:9" x14ac:dyDescent="0.25">
      <c r="A207" s="198"/>
      <c r="B207" s="198"/>
      <c r="C207" s="198"/>
      <c r="D207" s="206"/>
      <c r="E207" s="198"/>
      <c r="F207" s="198"/>
      <c r="G207" s="198"/>
      <c r="H207" s="198"/>
      <c r="I207" s="198"/>
    </row>
    <row r="208" spans="1:9" x14ac:dyDescent="0.25">
      <c r="A208" s="198"/>
      <c r="B208" s="198"/>
      <c r="C208" s="198"/>
      <c r="D208" s="206"/>
      <c r="E208" s="198"/>
      <c r="F208" s="198"/>
      <c r="G208" s="198"/>
      <c r="H208" s="198"/>
      <c r="I208" s="198"/>
    </row>
    <row r="209" spans="1:9" x14ac:dyDescent="0.25">
      <c r="A209" s="198"/>
      <c r="B209" s="198"/>
      <c r="C209" s="198"/>
      <c r="D209" s="206"/>
      <c r="E209" s="198"/>
      <c r="F209" s="198"/>
      <c r="G209" s="198"/>
      <c r="H209" s="198"/>
      <c r="I209" s="198"/>
    </row>
    <row r="210" spans="1:9" x14ac:dyDescent="0.25">
      <c r="A210" s="198"/>
      <c r="B210" s="198"/>
      <c r="C210" s="198"/>
      <c r="D210" s="206"/>
      <c r="E210" s="198"/>
      <c r="F210" s="198"/>
      <c r="G210" s="198"/>
      <c r="H210" s="198"/>
      <c r="I210" s="198"/>
    </row>
    <row r="211" spans="1:9" x14ac:dyDescent="0.25">
      <c r="A211" s="198"/>
      <c r="B211" s="198"/>
      <c r="C211" s="198"/>
      <c r="D211" s="206"/>
      <c r="E211" s="198"/>
      <c r="F211" s="198"/>
      <c r="G211" s="198"/>
      <c r="H211" s="198"/>
      <c r="I211" s="198"/>
    </row>
    <row r="212" spans="1:9" x14ac:dyDescent="0.25">
      <c r="A212" s="198"/>
      <c r="B212" s="198"/>
      <c r="C212" s="198"/>
      <c r="D212" s="206"/>
      <c r="E212" s="198"/>
      <c r="F212" s="198"/>
      <c r="G212" s="198"/>
      <c r="H212" s="198"/>
      <c r="I212" s="198"/>
    </row>
    <row r="213" spans="1:9" x14ac:dyDescent="0.25">
      <c r="A213" s="198"/>
      <c r="B213" s="198"/>
      <c r="C213" s="198"/>
      <c r="D213" s="206"/>
      <c r="E213" s="198"/>
      <c r="F213" s="198"/>
      <c r="G213" s="198"/>
      <c r="H213" s="198"/>
      <c r="I213" s="198"/>
    </row>
    <row r="214" spans="1:9" x14ac:dyDescent="0.25">
      <c r="A214" s="198"/>
      <c r="B214" s="198"/>
      <c r="C214" s="198"/>
      <c r="D214" s="206"/>
      <c r="E214" s="198"/>
      <c r="F214" s="198"/>
      <c r="G214" s="198"/>
      <c r="H214" s="198"/>
      <c r="I214" s="198"/>
    </row>
    <row r="215" spans="1:9" x14ac:dyDescent="0.25">
      <c r="A215" s="198"/>
      <c r="B215" s="198"/>
      <c r="C215" s="198"/>
      <c r="D215" s="206"/>
      <c r="E215" s="198"/>
      <c r="F215" s="198"/>
      <c r="G215" s="198"/>
      <c r="H215" s="198"/>
      <c r="I215" s="198"/>
    </row>
    <row r="216" spans="1:9" x14ac:dyDescent="0.25">
      <c r="A216" s="198"/>
      <c r="B216" s="198"/>
      <c r="C216" s="198"/>
      <c r="D216" s="206"/>
      <c r="E216" s="198"/>
      <c r="F216" s="198"/>
      <c r="G216" s="198"/>
      <c r="H216" s="198"/>
      <c r="I216" s="198"/>
    </row>
    <row r="217" spans="1:9" x14ac:dyDescent="0.25">
      <c r="A217" s="198"/>
      <c r="B217" s="198"/>
      <c r="C217" s="198"/>
      <c r="D217" s="206"/>
      <c r="E217" s="198"/>
      <c r="F217" s="198"/>
      <c r="G217" s="198"/>
      <c r="H217" s="198"/>
      <c r="I217" s="198"/>
    </row>
    <row r="218" spans="1:9" x14ac:dyDescent="0.25">
      <c r="A218" s="198"/>
      <c r="B218" s="198"/>
      <c r="C218" s="198"/>
      <c r="D218" s="206"/>
      <c r="E218" s="198"/>
      <c r="F218" s="198"/>
      <c r="G218" s="198"/>
      <c r="H218" s="198"/>
      <c r="I218" s="198"/>
    </row>
    <row r="219" spans="1:9" x14ac:dyDescent="0.25">
      <c r="A219" s="198"/>
      <c r="B219" s="198"/>
      <c r="C219" s="198"/>
      <c r="D219" s="206"/>
      <c r="E219" s="198"/>
      <c r="F219" s="198"/>
      <c r="G219" s="198"/>
      <c r="H219" s="198"/>
      <c r="I219" s="198"/>
    </row>
    <row r="220" spans="1:9" x14ac:dyDescent="0.25">
      <c r="A220" s="198"/>
      <c r="B220" s="198"/>
      <c r="C220" s="198"/>
      <c r="D220" s="206"/>
      <c r="E220" s="198"/>
      <c r="F220" s="198"/>
      <c r="G220" s="198"/>
      <c r="H220" s="198"/>
      <c r="I220" s="198"/>
    </row>
    <row r="221" spans="1:9" x14ac:dyDescent="0.25">
      <c r="A221" s="198"/>
      <c r="B221" s="198"/>
      <c r="C221" s="198"/>
      <c r="D221" s="206"/>
      <c r="E221" s="198"/>
      <c r="F221" s="198"/>
      <c r="G221" s="198"/>
      <c r="H221" s="198"/>
      <c r="I221" s="198"/>
    </row>
    <row r="222" spans="1:9" x14ac:dyDescent="0.25">
      <c r="A222" s="198"/>
      <c r="B222" s="198"/>
      <c r="C222" s="198"/>
      <c r="D222" s="206"/>
      <c r="E222" s="198"/>
      <c r="F222" s="198"/>
      <c r="G222" s="198"/>
      <c r="H222" s="198"/>
      <c r="I222" s="198"/>
    </row>
    <row r="223" spans="1:9" x14ac:dyDescent="0.25">
      <c r="A223" s="198"/>
      <c r="B223" s="198"/>
      <c r="C223" s="198"/>
      <c r="D223" s="206"/>
      <c r="E223" s="198"/>
      <c r="F223" s="198"/>
      <c r="G223" s="198"/>
      <c r="H223" s="198"/>
      <c r="I223" s="198"/>
    </row>
    <row r="224" spans="1:9" x14ac:dyDescent="0.25">
      <c r="A224" s="198"/>
      <c r="B224" s="198"/>
      <c r="C224" s="198"/>
      <c r="D224" s="206"/>
      <c r="E224" s="198"/>
      <c r="F224" s="198"/>
      <c r="G224" s="198"/>
      <c r="H224" s="198"/>
      <c r="I224" s="198"/>
    </row>
    <row r="225" spans="1:9" x14ac:dyDescent="0.25">
      <c r="A225" s="198"/>
      <c r="B225" s="198"/>
      <c r="C225" s="198"/>
      <c r="D225" s="206"/>
      <c r="E225" s="198"/>
      <c r="F225" s="198"/>
      <c r="G225" s="198"/>
      <c r="H225" s="198"/>
      <c r="I225" s="198"/>
    </row>
    <row r="226" spans="1:9" x14ac:dyDescent="0.25">
      <c r="A226" s="198"/>
      <c r="B226" s="198"/>
      <c r="C226" s="198"/>
      <c r="D226" s="206"/>
      <c r="E226" s="198"/>
      <c r="F226" s="198"/>
      <c r="G226" s="198"/>
      <c r="H226" s="198"/>
      <c r="I226" s="198"/>
    </row>
    <row r="227" spans="1:9" x14ac:dyDescent="0.25">
      <c r="A227" s="198"/>
      <c r="B227" s="198"/>
      <c r="C227" s="198"/>
      <c r="D227" s="206"/>
      <c r="E227" s="198"/>
      <c r="F227" s="198"/>
      <c r="G227" s="198"/>
      <c r="H227" s="198"/>
      <c r="I227" s="198"/>
    </row>
    <row r="228" spans="1:9" x14ac:dyDescent="0.25">
      <c r="A228" s="198"/>
      <c r="B228" s="198"/>
      <c r="C228" s="198"/>
      <c r="D228" s="206"/>
      <c r="E228" s="198"/>
      <c r="F228" s="198"/>
      <c r="G228" s="198"/>
      <c r="H228" s="198"/>
      <c r="I228" s="198"/>
    </row>
    <row r="229" spans="1:9" x14ac:dyDescent="0.25">
      <c r="A229" s="198"/>
      <c r="B229" s="198"/>
      <c r="C229" s="198"/>
      <c r="D229" s="206"/>
      <c r="E229" s="198"/>
      <c r="F229" s="198"/>
      <c r="G229" s="198"/>
      <c r="H229" s="198"/>
      <c r="I229" s="198"/>
    </row>
    <row r="230" spans="1:9" x14ac:dyDescent="0.25">
      <c r="A230" s="198"/>
      <c r="B230" s="198"/>
      <c r="C230" s="198"/>
      <c r="D230" s="206"/>
      <c r="E230" s="198"/>
      <c r="F230" s="198"/>
      <c r="G230" s="198"/>
      <c r="H230" s="198"/>
      <c r="I230" s="198"/>
    </row>
    <row r="231" spans="1:9" x14ac:dyDescent="0.25">
      <c r="A231" s="198"/>
      <c r="B231" s="198"/>
      <c r="C231" s="198"/>
      <c r="D231" s="206"/>
      <c r="E231" s="198"/>
      <c r="F231" s="198"/>
      <c r="G231" s="198"/>
      <c r="H231" s="198"/>
      <c r="I231" s="198"/>
    </row>
    <row r="232" spans="1:9" x14ac:dyDescent="0.25">
      <c r="A232" s="198"/>
      <c r="B232" s="198"/>
      <c r="C232" s="198"/>
      <c r="D232" s="206"/>
      <c r="E232" s="198"/>
      <c r="F232" s="198"/>
      <c r="G232" s="198"/>
      <c r="H232" s="198"/>
      <c r="I232" s="198"/>
    </row>
    <row r="233" spans="1:9" x14ac:dyDescent="0.25">
      <c r="A233" s="198"/>
      <c r="B233" s="198"/>
      <c r="C233" s="198"/>
      <c r="D233" s="206"/>
      <c r="E233" s="198"/>
      <c r="F233" s="198"/>
      <c r="G233" s="198"/>
      <c r="H233" s="198"/>
      <c r="I233" s="198"/>
    </row>
    <row r="234" spans="1:9" x14ac:dyDescent="0.25">
      <c r="A234" s="198"/>
      <c r="B234" s="198"/>
      <c r="C234" s="198"/>
      <c r="D234" s="206"/>
      <c r="E234" s="198"/>
      <c r="F234" s="198"/>
      <c r="G234" s="198"/>
      <c r="H234" s="198"/>
      <c r="I234" s="198"/>
    </row>
    <row r="235" spans="1:9" x14ac:dyDescent="0.25">
      <c r="A235" s="198"/>
      <c r="B235" s="198"/>
      <c r="C235" s="198"/>
      <c r="D235" s="206"/>
      <c r="E235" s="198"/>
      <c r="F235" s="198"/>
      <c r="G235" s="198"/>
      <c r="H235" s="198"/>
      <c r="I235" s="198"/>
    </row>
    <row r="236" spans="1:9" x14ac:dyDescent="0.25">
      <c r="A236" s="198"/>
      <c r="B236" s="198"/>
      <c r="C236" s="198"/>
      <c r="D236" s="206"/>
      <c r="E236" s="198"/>
      <c r="F236" s="198"/>
      <c r="G236" s="198"/>
      <c r="H236" s="198"/>
      <c r="I236" s="198"/>
    </row>
    <row r="237" spans="1:9" x14ac:dyDescent="0.25">
      <c r="A237" s="198"/>
      <c r="B237" s="198"/>
      <c r="C237" s="198"/>
      <c r="D237" s="206"/>
      <c r="E237" s="198"/>
      <c r="F237" s="198"/>
      <c r="G237" s="198"/>
      <c r="H237" s="198"/>
      <c r="I237" s="198"/>
    </row>
    <row r="238" spans="1:9" x14ac:dyDescent="0.25">
      <c r="A238" s="198"/>
      <c r="B238" s="198"/>
      <c r="C238" s="198"/>
      <c r="D238" s="206"/>
      <c r="E238" s="198"/>
      <c r="F238" s="198"/>
      <c r="G238" s="198"/>
      <c r="H238" s="198"/>
      <c r="I238" s="198"/>
    </row>
    <row r="239" spans="1:9" x14ac:dyDescent="0.25">
      <c r="A239" s="198"/>
      <c r="B239" s="198"/>
      <c r="C239" s="198"/>
      <c r="D239" s="206"/>
      <c r="E239" s="198"/>
      <c r="F239" s="198"/>
      <c r="G239" s="198"/>
      <c r="H239" s="198"/>
      <c r="I239" s="198"/>
    </row>
    <row r="240" spans="1:9" x14ac:dyDescent="0.25">
      <c r="A240" s="198"/>
      <c r="B240" s="198"/>
      <c r="C240" s="198"/>
      <c r="D240" s="206"/>
      <c r="E240" s="198"/>
      <c r="F240" s="198"/>
      <c r="G240" s="198"/>
      <c r="H240" s="198"/>
      <c r="I240" s="198"/>
    </row>
    <row r="241" spans="1:9" x14ac:dyDescent="0.25">
      <c r="A241" s="198"/>
      <c r="B241" s="198"/>
      <c r="C241" s="198"/>
      <c r="D241" s="206"/>
      <c r="E241" s="198"/>
      <c r="F241" s="198"/>
      <c r="G241" s="198"/>
      <c r="H241" s="198"/>
      <c r="I241" s="198"/>
    </row>
    <row r="242" spans="1:9" x14ac:dyDescent="0.25">
      <c r="A242" s="198"/>
      <c r="B242" s="198"/>
      <c r="C242" s="198"/>
      <c r="D242" s="206"/>
      <c r="E242" s="198"/>
      <c r="F242" s="198"/>
      <c r="G242" s="198"/>
      <c r="H242" s="198"/>
      <c r="I242" s="198"/>
    </row>
    <row r="243" spans="1:9" x14ac:dyDescent="0.25">
      <c r="A243" s="198"/>
      <c r="B243" s="198"/>
      <c r="C243" s="198"/>
      <c r="D243" s="206"/>
      <c r="E243" s="198"/>
      <c r="F243" s="198"/>
      <c r="G243" s="198"/>
      <c r="H243" s="198"/>
      <c r="I243" s="198"/>
    </row>
    <row r="244" spans="1:9" x14ac:dyDescent="0.25">
      <c r="A244" s="198"/>
      <c r="B244" s="198"/>
      <c r="C244" s="198"/>
      <c r="D244" s="206"/>
      <c r="E244" s="198"/>
      <c r="F244" s="198"/>
      <c r="G244" s="198"/>
      <c r="H244" s="198"/>
      <c r="I244" s="198"/>
    </row>
    <row r="245" spans="1:9" x14ac:dyDescent="0.25">
      <c r="A245" s="198"/>
      <c r="B245" s="198"/>
      <c r="C245" s="198"/>
      <c r="D245" s="206"/>
      <c r="E245" s="198"/>
      <c r="F245" s="198"/>
      <c r="G245" s="198"/>
      <c r="H245" s="198"/>
      <c r="I245" s="198"/>
    </row>
    <row r="246" spans="1:9" x14ac:dyDescent="0.25">
      <c r="A246" s="198"/>
      <c r="B246" s="198"/>
      <c r="C246" s="198"/>
      <c r="D246" s="206"/>
      <c r="E246" s="198"/>
      <c r="F246" s="198"/>
      <c r="G246" s="198"/>
      <c r="H246" s="198"/>
      <c r="I246" s="198"/>
    </row>
    <row r="247" spans="1:9" x14ac:dyDescent="0.25">
      <c r="A247" s="198"/>
      <c r="B247" s="198"/>
      <c r="C247" s="198"/>
      <c r="D247" s="206"/>
      <c r="E247" s="198"/>
      <c r="F247" s="198"/>
      <c r="G247" s="198"/>
      <c r="H247" s="198"/>
      <c r="I247" s="198"/>
    </row>
    <row r="248" spans="1:9" x14ac:dyDescent="0.25">
      <c r="A248" s="198"/>
      <c r="B248" s="198"/>
      <c r="C248" s="198"/>
      <c r="D248" s="206"/>
      <c r="E248" s="198"/>
      <c r="F248" s="198"/>
      <c r="G248" s="198"/>
      <c r="H248" s="198"/>
      <c r="I248" s="198"/>
    </row>
    <row r="249" spans="1:9" x14ac:dyDescent="0.25">
      <c r="A249" s="198"/>
      <c r="B249" s="198"/>
      <c r="C249" s="198"/>
      <c r="D249" s="206"/>
      <c r="E249" s="198"/>
      <c r="F249" s="198"/>
      <c r="G249" s="198"/>
      <c r="H249" s="198"/>
      <c r="I249" s="198"/>
    </row>
    <row r="250" spans="1:9" x14ac:dyDescent="0.25">
      <c r="A250" s="198"/>
      <c r="B250" s="198"/>
      <c r="C250" s="198"/>
      <c r="D250" s="206"/>
      <c r="E250" s="198"/>
      <c r="F250" s="198"/>
      <c r="G250" s="198"/>
      <c r="H250" s="198"/>
      <c r="I250" s="198"/>
    </row>
    <row r="251" spans="1:9" x14ac:dyDescent="0.25">
      <c r="A251" s="198"/>
      <c r="B251" s="198"/>
      <c r="C251" s="198"/>
      <c r="D251" s="206"/>
      <c r="E251" s="198"/>
      <c r="F251" s="198"/>
      <c r="G251" s="198"/>
      <c r="H251" s="198"/>
      <c r="I251" s="198"/>
    </row>
    <row r="252" spans="1:9" x14ac:dyDescent="0.25">
      <c r="A252" s="198"/>
      <c r="B252" s="198"/>
      <c r="C252" s="198"/>
      <c r="D252" s="206"/>
      <c r="E252" s="198"/>
      <c r="F252" s="198"/>
      <c r="G252" s="198"/>
      <c r="H252" s="198"/>
      <c r="I252" s="198"/>
    </row>
    <row r="253" spans="1:9" x14ac:dyDescent="0.25">
      <c r="A253" s="198"/>
      <c r="B253" s="198"/>
      <c r="C253" s="198"/>
      <c r="D253" s="206"/>
      <c r="E253" s="198"/>
      <c r="F253" s="198"/>
      <c r="G253" s="198"/>
      <c r="H253" s="198"/>
      <c r="I253" s="198"/>
    </row>
    <row r="254" spans="1:9" x14ac:dyDescent="0.25">
      <c r="A254" s="198"/>
      <c r="B254" s="198"/>
      <c r="C254" s="198"/>
      <c r="D254" s="206"/>
      <c r="E254" s="198"/>
      <c r="F254" s="198"/>
      <c r="G254" s="198"/>
      <c r="H254" s="198"/>
      <c r="I254" s="198"/>
    </row>
    <row r="255" spans="1:9" x14ac:dyDescent="0.25">
      <c r="A255" s="198"/>
      <c r="B255" s="198"/>
      <c r="C255" s="198"/>
      <c r="D255" s="206"/>
      <c r="E255" s="198"/>
      <c r="F255" s="198"/>
      <c r="G255" s="198"/>
      <c r="H255" s="198"/>
      <c r="I255" s="198"/>
    </row>
    <row r="2252" spans="4:4" s="194" customFormat="1" hidden="1" x14ac:dyDescent="0.25">
      <c r="D2252" s="189"/>
    </row>
    <row r="2259" spans="1:9" x14ac:dyDescent="0.25">
      <c r="A2259" s="199"/>
      <c r="B2259" s="199"/>
      <c r="C2259" s="199"/>
      <c r="D2259" s="198"/>
      <c r="E2259" s="199"/>
      <c r="F2259" s="199"/>
      <c r="G2259" s="199"/>
      <c r="H2259" s="199"/>
      <c r="I2259" s="199"/>
    </row>
    <row r="2278" spans="1:9" ht="12.75" customHeight="1" x14ac:dyDescent="0.25">
      <c r="A2278" s="194"/>
      <c r="B2278" s="194"/>
      <c r="C2278" s="194"/>
      <c r="E2278" s="194"/>
      <c r="F2278" s="194"/>
      <c r="G2278" s="194"/>
      <c r="H2278" s="194"/>
      <c r="I2278" s="194"/>
    </row>
    <row r="2285" spans="1:9" x14ac:dyDescent="0.25">
      <c r="A2285" s="199"/>
      <c r="B2285" s="199"/>
      <c r="C2285" s="199"/>
      <c r="D2285" s="198"/>
      <c r="E2285" s="199"/>
      <c r="F2285" s="199"/>
      <c r="G2285" s="199"/>
      <c r="H2285" s="199"/>
      <c r="I2285" s="199"/>
    </row>
    <row r="4524" spans="4:4" s="194" customFormat="1" hidden="1" x14ac:dyDescent="0.25">
      <c r="D4524" s="189"/>
    </row>
    <row r="4531" spans="1:9" x14ac:dyDescent="0.25">
      <c r="A4531" s="199"/>
      <c r="B4531" s="199"/>
      <c r="C4531" s="199"/>
      <c r="D4531" s="198"/>
      <c r="E4531" s="199"/>
      <c r="F4531" s="199"/>
      <c r="G4531" s="199"/>
      <c r="H4531" s="199"/>
      <c r="I4531" s="199"/>
    </row>
    <row r="4554" spans="4:4" s="194" customFormat="1" hidden="1" x14ac:dyDescent="0.25">
      <c r="D4554" s="189"/>
    </row>
    <row r="4561" spans="1:9" x14ac:dyDescent="0.25">
      <c r="A4561" s="199"/>
      <c r="B4561" s="199"/>
      <c r="C4561" s="199"/>
      <c r="D4561" s="198"/>
      <c r="E4561" s="199"/>
      <c r="F4561" s="199"/>
      <c r="G4561" s="199"/>
      <c r="H4561" s="199"/>
      <c r="I4561" s="199"/>
    </row>
    <row r="4628" spans="1:9" hidden="1" x14ac:dyDescent="0.25">
      <c r="A4628" s="194"/>
      <c r="B4628" s="194"/>
      <c r="C4628" s="194"/>
      <c r="E4628" s="194"/>
      <c r="F4628" s="194"/>
      <c r="G4628" s="194"/>
      <c r="H4628" s="194"/>
      <c r="I4628" s="194"/>
    </row>
    <row r="4635" spans="1:9" x14ac:dyDescent="0.25">
      <c r="A4635" s="199"/>
      <c r="B4635" s="199"/>
      <c r="C4635" s="199"/>
      <c r="D4635" s="198"/>
      <c r="E4635" s="199"/>
      <c r="F4635" s="199"/>
      <c r="G4635" s="199"/>
      <c r="H4635" s="199"/>
      <c r="I4635" s="199"/>
    </row>
    <row r="4679" spans="1:9" hidden="1" x14ac:dyDescent="0.25">
      <c r="A4679" s="194"/>
      <c r="B4679" s="194"/>
      <c r="C4679" s="194"/>
      <c r="E4679" s="194"/>
      <c r="F4679" s="194"/>
      <c r="G4679" s="194"/>
      <c r="H4679" s="194"/>
      <c r="I4679" s="194"/>
    </row>
    <row r="4686" spans="1:9" x14ac:dyDescent="0.25">
      <c r="A4686" s="199"/>
      <c r="B4686" s="199"/>
      <c r="C4686" s="199"/>
      <c r="D4686" s="198"/>
      <c r="E4686" s="199"/>
      <c r="F4686" s="199"/>
      <c r="G4686" s="199"/>
      <c r="H4686" s="199"/>
      <c r="I4686" s="199"/>
    </row>
    <row r="4732" spans="4:4" s="194" customFormat="1" hidden="1" x14ac:dyDescent="0.25">
      <c r="D4732" s="189"/>
    </row>
    <row r="4739" spans="1:9" x14ac:dyDescent="0.25">
      <c r="A4739" s="199"/>
      <c r="B4739" s="199"/>
      <c r="C4739" s="199"/>
      <c r="D4739" s="198"/>
      <c r="E4739" s="199"/>
      <c r="F4739" s="199"/>
      <c r="G4739" s="199"/>
      <c r="H4739" s="199"/>
      <c r="I4739" s="199"/>
    </row>
  </sheetData>
  <sheetProtection algorithmName="SHA-512" hashValue="RaGJbyO9cZYRymFHyyddezySm5BqE6zq1dIooJQGL2jzQruLJ5sW2XJS+ZyiB4AYfjXSXXiz39CiT2JelEMJAg==" saltValue="gbQek4h3FE2ghdy5niuCyw==" spinCount="100000" sheet="1" objects="1" scenarios="1"/>
  <pageMargins left="0.7" right="0.7" top="0.78740157499999996" bottom="0.78740157499999996" header="0.3" footer="0.3"/>
  <pageSetup paperSize="9" scale="90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61"/>
  <sheetViews>
    <sheetView tabSelected="1" topLeftCell="A90" zoomScaleNormal="100" workbookViewId="0">
      <selection activeCell="B45" sqref="B45"/>
    </sheetView>
  </sheetViews>
  <sheetFormatPr defaultRowHeight="13.2" x14ac:dyDescent="0.25"/>
  <cols>
    <col min="2" max="2" width="88.6640625" customWidth="1"/>
    <col min="3" max="3" width="10" bestFit="1" customWidth="1"/>
    <col min="4" max="4" width="5.44140625" bestFit="1" customWidth="1"/>
    <col min="5" max="5" width="10.6640625" style="84" customWidth="1"/>
    <col min="6" max="6" width="15.6640625" style="84" customWidth="1"/>
    <col min="7" max="7" width="10.6640625" customWidth="1"/>
    <col min="8" max="8" width="15.6640625" customWidth="1"/>
    <col min="256" max="256" width="88.6640625" customWidth="1"/>
    <col min="257" max="257" width="10" bestFit="1" customWidth="1"/>
    <col min="258" max="258" width="5.44140625" bestFit="1" customWidth="1"/>
    <col min="259" max="259" width="20.109375" customWidth="1"/>
    <col min="260" max="260" width="10.6640625" customWidth="1"/>
    <col min="261" max="262" width="15.6640625" customWidth="1"/>
    <col min="263" max="263" width="10.6640625" customWidth="1"/>
    <col min="264" max="264" width="15.6640625" customWidth="1"/>
    <col min="512" max="512" width="88.6640625" customWidth="1"/>
    <col min="513" max="513" width="10" bestFit="1" customWidth="1"/>
    <col min="514" max="514" width="5.44140625" bestFit="1" customWidth="1"/>
    <col min="515" max="515" width="20.109375" customWidth="1"/>
    <col min="516" max="516" width="10.6640625" customWidth="1"/>
    <col min="517" max="518" width="15.6640625" customWidth="1"/>
    <col min="519" max="519" width="10.6640625" customWidth="1"/>
    <col min="520" max="520" width="15.6640625" customWidth="1"/>
    <col min="768" max="768" width="88.6640625" customWidth="1"/>
    <col min="769" max="769" width="10" bestFit="1" customWidth="1"/>
    <col min="770" max="770" width="5.44140625" bestFit="1" customWidth="1"/>
    <col min="771" max="771" width="20.109375" customWidth="1"/>
    <col min="772" max="772" width="10.6640625" customWidth="1"/>
    <col min="773" max="774" width="15.6640625" customWidth="1"/>
    <col min="775" max="775" width="10.6640625" customWidth="1"/>
    <col min="776" max="776" width="15.6640625" customWidth="1"/>
    <col min="1024" max="1024" width="88.6640625" customWidth="1"/>
    <col min="1025" max="1025" width="10" bestFit="1" customWidth="1"/>
    <col min="1026" max="1026" width="5.44140625" bestFit="1" customWidth="1"/>
    <col min="1027" max="1027" width="20.109375" customWidth="1"/>
    <col min="1028" max="1028" width="10.6640625" customWidth="1"/>
    <col min="1029" max="1030" width="15.6640625" customWidth="1"/>
    <col min="1031" max="1031" width="10.6640625" customWidth="1"/>
    <col min="1032" max="1032" width="15.6640625" customWidth="1"/>
    <col min="1280" max="1280" width="88.6640625" customWidth="1"/>
    <col min="1281" max="1281" width="10" bestFit="1" customWidth="1"/>
    <col min="1282" max="1282" width="5.44140625" bestFit="1" customWidth="1"/>
    <col min="1283" max="1283" width="20.109375" customWidth="1"/>
    <col min="1284" max="1284" width="10.6640625" customWidth="1"/>
    <col min="1285" max="1286" width="15.6640625" customWidth="1"/>
    <col min="1287" max="1287" width="10.6640625" customWidth="1"/>
    <col min="1288" max="1288" width="15.6640625" customWidth="1"/>
    <col min="1536" max="1536" width="88.6640625" customWidth="1"/>
    <col min="1537" max="1537" width="10" bestFit="1" customWidth="1"/>
    <col min="1538" max="1538" width="5.44140625" bestFit="1" customWidth="1"/>
    <col min="1539" max="1539" width="20.109375" customWidth="1"/>
    <col min="1540" max="1540" width="10.6640625" customWidth="1"/>
    <col min="1541" max="1542" width="15.6640625" customWidth="1"/>
    <col min="1543" max="1543" width="10.6640625" customWidth="1"/>
    <col min="1544" max="1544" width="15.6640625" customWidth="1"/>
    <col min="1792" max="1792" width="88.6640625" customWidth="1"/>
    <col min="1793" max="1793" width="10" bestFit="1" customWidth="1"/>
    <col min="1794" max="1794" width="5.44140625" bestFit="1" customWidth="1"/>
    <col min="1795" max="1795" width="20.109375" customWidth="1"/>
    <col min="1796" max="1796" width="10.6640625" customWidth="1"/>
    <col min="1797" max="1798" width="15.6640625" customWidth="1"/>
    <col min="1799" max="1799" width="10.6640625" customWidth="1"/>
    <col min="1800" max="1800" width="15.6640625" customWidth="1"/>
    <col min="2048" max="2048" width="88.6640625" customWidth="1"/>
    <col min="2049" max="2049" width="10" bestFit="1" customWidth="1"/>
    <col min="2050" max="2050" width="5.44140625" bestFit="1" customWidth="1"/>
    <col min="2051" max="2051" width="20.109375" customWidth="1"/>
    <col min="2052" max="2052" width="10.6640625" customWidth="1"/>
    <col min="2053" max="2054" width="15.6640625" customWidth="1"/>
    <col min="2055" max="2055" width="10.6640625" customWidth="1"/>
    <col min="2056" max="2056" width="15.6640625" customWidth="1"/>
    <col min="2304" max="2304" width="88.6640625" customWidth="1"/>
    <col min="2305" max="2305" width="10" bestFit="1" customWidth="1"/>
    <col min="2306" max="2306" width="5.44140625" bestFit="1" customWidth="1"/>
    <col min="2307" max="2307" width="20.109375" customWidth="1"/>
    <col min="2308" max="2308" width="10.6640625" customWidth="1"/>
    <col min="2309" max="2310" width="15.6640625" customWidth="1"/>
    <col min="2311" max="2311" width="10.6640625" customWidth="1"/>
    <col min="2312" max="2312" width="15.6640625" customWidth="1"/>
    <col min="2560" max="2560" width="88.6640625" customWidth="1"/>
    <col min="2561" max="2561" width="10" bestFit="1" customWidth="1"/>
    <col min="2562" max="2562" width="5.44140625" bestFit="1" customWidth="1"/>
    <col min="2563" max="2563" width="20.109375" customWidth="1"/>
    <col min="2564" max="2564" width="10.6640625" customWidth="1"/>
    <col min="2565" max="2566" width="15.6640625" customWidth="1"/>
    <col min="2567" max="2567" width="10.6640625" customWidth="1"/>
    <col min="2568" max="2568" width="15.6640625" customWidth="1"/>
    <col min="2816" max="2816" width="88.6640625" customWidth="1"/>
    <col min="2817" max="2817" width="10" bestFit="1" customWidth="1"/>
    <col min="2818" max="2818" width="5.44140625" bestFit="1" customWidth="1"/>
    <col min="2819" max="2819" width="20.109375" customWidth="1"/>
    <col min="2820" max="2820" width="10.6640625" customWidth="1"/>
    <col min="2821" max="2822" width="15.6640625" customWidth="1"/>
    <col min="2823" max="2823" width="10.6640625" customWidth="1"/>
    <col min="2824" max="2824" width="15.6640625" customWidth="1"/>
    <col min="3072" max="3072" width="88.6640625" customWidth="1"/>
    <col min="3073" max="3073" width="10" bestFit="1" customWidth="1"/>
    <col min="3074" max="3074" width="5.44140625" bestFit="1" customWidth="1"/>
    <col min="3075" max="3075" width="20.109375" customWidth="1"/>
    <col min="3076" max="3076" width="10.6640625" customWidth="1"/>
    <col min="3077" max="3078" width="15.6640625" customWidth="1"/>
    <col min="3079" max="3079" width="10.6640625" customWidth="1"/>
    <col min="3080" max="3080" width="15.6640625" customWidth="1"/>
    <col min="3328" max="3328" width="88.6640625" customWidth="1"/>
    <col min="3329" max="3329" width="10" bestFit="1" customWidth="1"/>
    <col min="3330" max="3330" width="5.44140625" bestFit="1" customWidth="1"/>
    <col min="3331" max="3331" width="20.109375" customWidth="1"/>
    <col min="3332" max="3332" width="10.6640625" customWidth="1"/>
    <col min="3333" max="3334" width="15.6640625" customWidth="1"/>
    <col min="3335" max="3335" width="10.6640625" customWidth="1"/>
    <col min="3336" max="3336" width="15.6640625" customWidth="1"/>
    <col min="3584" max="3584" width="88.6640625" customWidth="1"/>
    <col min="3585" max="3585" width="10" bestFit="1" customWidth="1"/>
    <col min="3586" max="3586" width="5.44140625" bestFit="1" customWidth="1"/>
    <col min="3587" max="3587" width="20.109375" customWidth="1"/>
    <col min="3588" max="3588" width="10.6640625" customWidth="1"/>
    <col min="3589" max="3590" width="15.6640625" customWidth="1"/>
    <col min="3591" max="3591" width="10.6640625" customWidth="1"/>
    <col min="3592" max="3592" width="15.6640625" customWidth="1"/>
    <col min="3840" max="3840" width="88.6640625" customWidth="1"/>
    <col min="3841" max="3841" width="10" bestFit="1" customWidth="1"/>
    <col min="3842" max="3842" width="5.44140625" bestFit="1" customWidth="1"/>
    <col min="3843" max="3843" width="20.109375" customWidth="1"/>
    <col min="3844" max="3844" width="10.6640625" customWidth="1"/>
    <col min="3845" max="3846" width="15.6640625" customWidth="1"/>
    <col min="3847" max="3847" width="10.6640625" customWidth="1"/>
    <col min="3848" max="3848" width="15.6640625" customWidth="1"/>
    <col min="4096" max="4096" width="88.6640625" customWidth="1"/>
    <col min="4097" max="4097" width="10" bestFit="1" customWidth="1"/>
    <col min="4098" max="4098" width="5.44140625" bestFit="1" customWidth="1"/>
    <col min="4099" max="4099" width="20.109375" customWidth="1"/>
    <col min="4100" max="4100" width="10.6640625" customWidth="1"/>
    <col min="4101" max="4102" width="15.6640625" customWidth="1"/>
    <col min="4103" max="4103" width="10.6640625" customWidth="1"/>
    <col min="4104" max="4104" width="15.6640625" customWidth="1"/>
    <col min="4352" max="4352" width="88.6640625" customWidth="1"/>
    <col min="4353" max="4353" width="10" bestFit="1" customWidth="1"/>
    <col min="4354" max="4354" width="5.44140625" bestFit="1" customWidth="1"/>
    <col min="4355" max="4355" width="20.109375" customWidth="1"/>
    <col min="4356" max="4356" width="10.6640625" customWidth="1"/>
    <col min="4357" max="4358" width="15.6640625" customWidth="1"/>
    <col min="4359" max="4359" width="10.6640625" customWidth="1"/>
    <col min="4360" max="4360" width="15.6640625" customWidth="1"/>
    <col min="4608" max="4608" width="88.6640625" customWidth="1"/>
    <col min="4609" max="4609" width="10" bestFit="1" customWidth="1"/>
    <col min="4610" max="4610" width="5.44140625" bestFit="1" customWidth="1"/>
    <col min="4611" max="4611" width="20.109375" customWidth="1"/>
    <col min="4612" max="4612" width="10.6640625" customWidth="1"/>
    <col min="4613" max="4614" width="15.6640625" customWidth="1"/>
    <col min="4615" max="4615" width="10.6640625" customWidth="1"/>
    <col min="4616" max="4616" width="15.6640625" customWidth="1"/>
    <col min="4864" max="4864" width="88.6640625" customWidth="1"/>
    <col min="4865" max="4865" width="10" bestFit="1" customWidth="1"/>
    <col min="4866" max="4866" width="5.44140625" bestFit="1" customWidth="1"/>
    <col min="4867" max="4867" width="20.109375" customWidth="1"/>
    <col min="4868" max="4868" width="10.6640625" customWidth="1"/>
    <col min="4869" max="4870" width="15.6640625" customWidth="1"/>
    <col min="4871" max="4871" width="10.6640625" customWidth="1"/>
    <col min="4872" max="4872" width="15.6640625" customWidth="1"/>
    <col min="5120" max="5120" width="88.6640625" customWidth="1"/>
    <col min="5121" max="5121" width="10" bestFit="1" customWidth="1"/>
    <col min="5122" max="5122" width="5.44140625" bestFit="1" customWidth="1"/>
    <col min="5123" max="5123" width="20.109375" customWidth="1"/>
    <col min="5124" max="5124" width="10.6640625" customWidth="1"/>
    <col min="5125" max="5126" width="15.6640625" customWidth="1"/>
    <col min="5127" max="5127" width="10.6640625" customWidth="1"/>
    <col min="5128" max="5128" width="15.6640625" customWidth="1"/>
    <col min="5376" max="5376" width="88.6640625" customWidth="1"/>
    <col min="5377" max="5377" width="10" bestFit="1" customWidth="1"/>
    <col min="5378" max="5378" width="5.44140625" bestFit="1" customWidth="1"/>
    <col min="5379" max="5379" width="20.109375" customWidth="1"/>
    <col min="5380" max="5380" width="10.6640625" customWidth="1"/>
    <col min="5381" max="5382" width="15.6640625" customWidth="1"/>
    <col min="5383" max="5383" width="10.6640625" customWidth="1"/>
    <col min="5384" max="5384" width="15.6640625" customWidth="1"/>
    <col min="5632" max="5632" width="88.6640625" customWidth="1"/>
    <col min="5633" max="5633" width="10" bestFit="1" customWidth="1"/>
    <col min="5634" max="5634" width="5.44140625" bestFit="1" customWidth="1"/>
    <col min="5635" max="5635" width="20.109375" customWidth="1"/>
    <col min="5636" max="5636" width="10.6640625" customWidth="1"/>
    <col min="5637" max="5638" width="15.6640625" customWidth="1"/>
    <col min="5639" max="5639" width="10.6640625" customWidth="1"/>
    <col min="5640" max="5640" width="15.6640625" customWidth="1"/>
    <col min="5888" max="5888" width="88.6640625" customWidth="1"/>
    <col min="5889" max="5889" width="10" bestFit="1" customWidth="1"/>
    <col min="5890" max="5890" width="5.44140625" bestFit="1" customWidth="1"/>
    <col min="5891" max="5891" width="20.109375" customWidth="1"/>
    <col min="5892" max="5892" width="10.6640625" customWidth="1"/>
    <col min="5893" max="5894" width="15.6640625" customWidth="1"/>
    <col min="5895" max="5895" width="10.6640625" customWidth="1"/>
    <col min="5896" max="5896" width="15.6640625" customWidth="1"/>
    <col min="6144" max="6144" width="88.6640625" customWidth="1"/>
    <col min="6145" max="6145" width="10" bestFit="1" customWidth="1"/>
    <col min="6146" max="6146" width="5.44140625" bestFit="1" customWidth="1"/>
    <col min="6147" max="6147" width="20.109375" customWidth="1"/>
    <col min="6148" max="6148" width="10.6640625" customWidth="1"/>
    <col min="6149" max="6150" width="15.6640625" customWidth="1"/>
    <col min="6151" max="6151" width="10.6640625" customWidth="1"/>
    <col min="6152" max="6152" width="15.6640625" customWidth="1"/>
    <col min="6400" max="6400" width="88.6640625" customWidth="1"/>
    <col min="6401" max="6401" width="10" bestFit="1" customWidth="1"/>
    <col min="6402" max="6402" width="5.44140625" bestFit="1" customWidth="1"/>
    <col min="6403" max="6403" width="20.109375" customWidth="1"/>
    <col min="6404" max="6404" width="10.6640625" customWidth="1"/>
    <col min="6405" max="6406" width="15.6640625" customWidth="1"/>
    <col min="6407" max="6407" width="10.6640625" customWidth="1"/>
    <col min="6408" max="6408" width="15.6640625" customWidth="1"/>
    <col min="6656" max="6656" width="88.6640625" customWidth="1"/>
    <col min="6657" max="6657" width="10" bestFit="1" customWidth="1"/>
    <col min="6658" max="6658" width="5.44140625" bestFit="1" customWidth="1"/>
    <col min="6659" max="6659" width="20.109375" customWidth="1"/>
    <col min="6660" max="6660" width="10.6640625" customWidth="1"/>
    <col min="6661" max="6662" width="15.6640625" customWidth="1"/>
    <col min="6663" max="6663" width="10.6640625" customWidth="1"/>
    <col min="6664" max="6664" width="15.6640625" customWidth="1"/>
    <col min="6912" max="6912" width="88.6640625" customWidth="1"/>
    <col min="6913" max="6913" width="10" bestFit="1" customWidth="1"/>
    <col min="6914" max="6914" width="5.44140625" bestFit="1" customWidth="1"/>
    <col min="6915" max="6915" width="20.109375" customWidth="1"/>
    <col min="6916" max="6916" width="10.6640625" customWidth="1"/>
    <col min="6917" max="6918" width="15.6640625" customWidth="1"/>
    <col min="6919" max="6919" width="10.6640625" customWidth="1"/>
    <col min="6920" max="6920" width="15.6640625" customWidth="1"/>
    <col min="7168" max="7168" width="88.6640625" customWidth="1"/>
    <col min="7169" max="7169" width="10" bestFit="1" customWidth="1"/>
    <col min="7170" max="7170" width="5.44140625" bestFit="1" customWidth="1"/>
    <col min="7171" max="7171" width="20.109375" customWidth="1"/>
    <col min="7172" max="7172" width="10.6640625" customWidth="1"/>
    <col min="7173" max="7174" width="15.6640625" customWidth="1"/>
    <col min="7175" max="7175" width="10.6640625" customWidth="1"/>
    <col min="7176" max="7176" width="15.6640625" customWidth="1"/>
    <col min="7424" max="7424" width="88.6640625" customWidth="1"/>
    <col min="7425" max="7425" width="10" bestFit="1" customWidth="1"/>
    <col min="7426" max="7426" width="5.44140625" bestFit="1" customWidth="1"/>
    <col min="7427" max="7427" width="20.109375" customWidth="1"/>
    <col min="7428" max="7428" width="10.6640625" customWidth="1"/>
    <col min="7429" max="7430" width="15.6640625" customWidth="1"/>
    <col min="7431" max="7431" width="10.6640625" customWidth="1"/>
    <col min="7432" max="7432" width="15.6640625" customWidth="1"/>
    <col min="7680" max="7680" width="88.6640625" customWidth="1"/>
    <col min="7681" max="7681" width="10" bestFit="1" customWidth="1"/>
    <col min="7682" max="7682" width="5.44140625" bestFit="1" customWidth="1"/>
    <col min="7683" max="7683" width="20.109375" customWidth="1"/>
    <col min="7684" max="7684" width="10.6640625" customWidth="1"/>
    <col min="7685" max="7686" width="15.6640625" customWidth="1"/>
    <col min="7687" max="7687" width="10.6640625" customWidth="1"/>
    <col min="7688" max="7688" width="15.6640625" customWidth="1"/>
    <col min="7936" max="7936" width="88.6640625" customWidth="1"/>
    <col min="7937" max="7937" width="10" bestFit="1" customWidth="1"/>
    <col min="7938" max="7938" width="5.44140625" bestFit="1" customWidth="1"/>
    <col min="7939" max="7939" width="20.109375" customWidth="1"/>
    <col min="7940" max="7940" width="10.6640625" customWidth="1"/>
    <col min="7941" max="7942" width="15.6640625" customWidth="1"/>
    <col min="7943" max="7943" width="10.6640625" customWidth="1"/>
    <col min="7944" max="7944" width="15.6640625" customWidth="1"/>
    <col min="8192" max="8192" width="88.6640625" customWidth="1"/>
    <col min="8193" max="8193" width="10" bestFit="1" customWidth="1"/>
    <col min="8194" max="8194" width="5.44140625" bestFit="1" customWidth="1"/>
    <col min="8195" max="8195" width="20.109375" customWidth="1"/>
    <col min="8196" max="8196" width="10.6640625" customWidth="1"/>
    <col min="8197" max="8198" width="15.6640625" customWidth="1"/>
    <col min="8199" max="8199" width="10.6640625" customWidth="1"/>
    <col min="8200" max="8200" width="15.6640625" customWidth="1"/>
    <col min="8448" max="8448" width="88.6640625" customWidth="1"/>
    <col min="8449" max="8449" width="10" bestFit="1" customWidth="1"/>
    <col min="8450" max="8450" width="5.44140625" bestFit="1" customWidth="1"/>
    <col min="8451" max="8451" width="20.109375" customWidth="1"/>
    <col min="8452" max="8452" width="10.6640625" customWidth="1"/>
    <col min="8453" max="8454" width="15.6640625" customWidth="1"/>
    <col min="8455" max="8455" width="10.6640625" customWidth="1"/>
    <col min="8456" max="8456" width="15.6640625" customWidth="1"/>
    <col min="8704" max="8704" width="88.6640625" customWidth="1"/>
    <col min="8705" max="8705" width="10" bestFit="1" customWidth="1"/>
    <col min="8706" max="8706" width="5.44140625" bestFit="1" customWidth="1"/>
    <col min="8707" max="8707" width="20.109375" customWidth="1"/>
    <col min="8708" max="8708" width="10.6640625" customWidth="1"/>
    <col min="8709" max="8710" width="15.6640625" customWidth="1"/>
    <col min="8711" max="8711" width="10.6640625" customWidth="1"/>
    <col min="8712" max="8712" width="15.6640625" customWidth="1"/>
    <col min="8960" max="8960" width="88.6640625" customWidth="1"/>
    <col min="8961" max="8961" width="10" bestFit="1" customWidth="1"/>
    <col min="8962" max="8962" width="5.44140625" bestFit="1" customWidth="1"/>
    <col min="8963" max="8963" width="20.109375" customWidth="1"/>
    <col min="8964" max="8964" width="10.6640625" customWidth="1"/>
    <col min="8965" max="8966" width="15.6640625" customWidth="1"/>
    <col min="8967" max="8967" width="10.6640625" customWidth="1"/>
    <col min="8968" max="8968" width="15.6640625" customWidth="1"/>
    <col min="9216" max="9216" width="88.6640625" customWidth="1"/>
    <col min="9217" max="9217" width="10" bestFit="1" customWidth="1"/>
    <col min="9218" max="9218" width="5.44140625" bestFit="1" customWidth="1"/>
    <col min="9219" max="9219" width="20.109375" customWidth="1"/>
    <col min="9220" max="9220" width="10.6640625" customWidth="1"/>
    <col min="9221" max="9222" width="15.6640625" customWidth="1"/>
    <col min="9223" max="9223" width="10.6640625" customWidth="1"/>
    <col min="9224" max="9224" width="15.6640625" customWidth="1"/>
    <col min="9472" max="9472" width="88.6640625" customWidth="1"/>
    <col min="9473" max="9473" width="10" bestFit="1" customWidth="1"/>
    <col min="9474" max="9474" width="5.44140625" bestFit="1" customWidth="1"/>
    <col min="9475" max="9475" width="20.109375" customWidth="1"/>
    <col min="9476" max="9476" width="10.6640625" customWidth="1"/>
    <col min="9477" max="9478" width="15.6640625" customWidth="1"/>
    <col min="9479" max="9479" width="10.6640625" customWidth="1"/>
    <col min="9480" max="9480" width="15.6640625" customWidth="1"/>
    <col min="9728" max="9728" width="88.6640625" customWidth="1"/>
    <col min="9729" max="9729" width="10" bestFit="1" customWidth="1"/>
    <col min="9730" max="9730" width="5.44140625" bestFit="1" customWidth="1"/>
    <col min="9731" max="9731" width="20.109375" customWidth="1"/>
    <col min="9732" max="9732" width="10.6640625" customWidth="1"/>
    <col min="9733" max="9734" width="15.6640625" customWidth="1"/>
    <col min="9735" max="9735" width="10.6640625" customWidth="1"/>
    <col min="9736" max="9736" width="15.6640625" customWidth="1"/>
    <col min="9984" max="9984" width="88.6640625" customWidth="1"/>
    <col min="9985" max="9985" width="10" bestFit="1" customWidth="1"/>
    <col min="9986" max="9986" width="5.44140625" bestFit="1" customWidth="1"/>
    <col min="9987" max="9987" width="20.109375" customWidth="1"/>
    <col min="9988" max="9988" width="10.6640625" customWidth="1"/>
    <col min="9989" max="9990" width="15.6640625" customWidth="1"/>
    <col min="9991" max="9991" width="10.6640625" customWidth="1"/>
    <col min="9992" max="9992" width="15.6640625" customWidth="1"/>
    <col min="10240" max="10240" width="88.6640625" customWidth="1"/>
    <col min="10241" max="10241" width="10" bestFit="1" customWidth="1"/>
    <col min="10242" max="10242" width="5.44140625" bestFit="1" customWidth="1"/>
    <col min="10243" max="10243" width="20.109375" customWidth="1"/>
    <col min="10244" max="10244" width="10.6640625" customWidth="1"/>
    <col min="10245" max="10246" width="15.6640625" customWidth="1"/>
    <col min="10247" max="10247" width="10.6640625" customWidth="1"/>
    <col min="10248" max="10248" width="15.6640625" customWidth="1"/>
    <col min="10496" max="10496" width="88.6640625" customWidth="1"/>
    <col min="10497" max="10497" width="10" bestFit="1" customWidth="1"/>
    <col min="10498" max="10498" width="5.44140625" bestFit="1" customWidth="1"/>
    <col min="10499" max="10499" width="20.109375" customWidth="1"/>
    <col min="10500" max="10500" width="10.6640625" customWidth="1"/>
    <col min="10501" max="10502" width="15.6640625" customWidth="1"/>
    <col min="10503" max="10503" width="10.6640625" customWidth="1"/>
    <col min="10504" max="10504" width="15.6640625" customWidth="1"/>
    <col min="10752" max="10752" width="88.6640625" customWidth="1"/>
    <col min="10753" max="10753" width="10" bestFit="1" customWidth="1"/>
    <col min="10754" max="10754" width="5.44140625" bestFit="1" customWidth="1"/>
    <col min="10755" max="10755" width="20.109375" customWidth="1"/>
    <col min="10756" max="10756" width="10.6640625" customWidth="1"/>
    <col min="10757" max="10758" width="15.6640625" customWidth="1"/>
    <col min="10759" max="10759" width="10.6640625" customWidth="1"/>
    <col min="10760" max="10760" width="15.6640625" customWidth="1"/>
    <col min="11008" max="11008" width="88.6640625" customWidth="1"/>
    <col min="11009" max="11009" width="10" bestFit="1" customWidth="1"/>
    <col min="11010" max="11010" width="5.44140625" bestFit="1" customWidth="1"/>
    <col min="11011" max="11011" width="20.109375" customWidth="1"/>
    <col min="11012" max="11012" width="10.6640625" customWidth="1"/>
    <col min="11013" max="11014" width="15.6640625" customWidth="1"/>
    <col min="11015" max="11015" width="10.6640625" customWidth="1"/>
    <col min="11016" max="11016" width="15.6640625" customWidth="1"/>
    <col min="11264" max="11264" width="88.6640625" customWidth="1"/>
    <col min="11265" max="11265" width="10" bestFit="1" customWidth="1"/>
    <col min="11266" max="11266" width="5.44140625" bestFit="1" customWidth="1"/>
    <col min="11267" max="11267" width="20.109375" customWidth="1"/>
    <col min="11268" max="11268" width="10.6640625" customWidth="1"/>
    <col min="11269" max="11270" width="15.6640625" customWidth="1"/>
    <col min="11271" max="11271" width="10.6640625" customWidth="1"/>
    <col min="11272" max="11272" width="15.6640625" customWidth="1"/>
    <col min="11520" max="11520" width="88.6640625" customWidth="1"/>
    <col min="11521" max="11521" width="10" bestFit="1" customWidth="1"/>
    <col min="11522" max="11522" width="5.44140625" bestFit="1" customWidth="1"/>
    <col min="11523" max="11523" width="20.109375" customWidth="1"/>
    <col min="11524" max="11524" width="10.6640625" customWidth="1"/>
    <col min="11525" max="11526" width="15.6640625" customWidth="1"/>
    <col min="11527" max="11527" width="10.6640625" customWidth="1"/>
    <col min="11528" max="11528" width="15.6640625" customWidth="1"/>
    <col min="11776" max="11776" width="88.6640625" customWidth="1"/>
    <col min="11777" max="11777" width="10" bestFit="1" customWidth="1"/>
    <col min="11778" max="11778" width="5.44140625" bestFit="1" customWidth="1"/>
    <col min="11779" max="11779" width="20.109375" customWidth="1"/>
    <col min="11780" max="11780" width="10.6640625" customWidth="1"/>
    <col min="11781" max="11782" width="15.6640625" customWidth="1"/>
    <col min="11783" max="11783" width="10.6640625" customWidth="1"/>
    <col min="11784" max="11784" width="15.6640625" customWidth="1"/>
    <col min="12032" max="12032" width="88.6640625" customWidth="1"/>
    <col min="12033" max="12033" width="10" bestFit="1" customWidth="1"/>
    <col min="12034" max="12034" width="5.44140625" bestFit="1" customWidth="1"/>
    <col min="12035" max="12035" width="20.109375" customWidth="1"/>
    <col min="12036" max="12036" width="10.6640625" customWidth="1"/>
    <col min="12037" max="12038" width="15.6640625" customWidth="1"/>
    <col min="12039" max="12039" width="10.6640625" customWidth="1"/>
    <col min="12040" max="12040" width="15.6640625" customWidth="1"/>
    <col min="12288" max="12288" width="88.6640625" customWidth="1"/>
    <col min="12289" max="12289" width="10" bestFit="1" customWidth="1"/>
    <col min="12290" max="12290" width="5.44140625" bestFit="1" customWidth="1"/>
    <col min="12291" max="12291" width="20.109375" customWidth="1"/>
    <col min="12292" max="12292" width="10.6640625" customWidth="1"/>
    <col min="12293" max="12294" width="15.6640625" customWidth="1"/>
    <col min="12295" max="12295" width="10.6640625" customWidth="1"/>
    <col min="12296" max="12296" width="15.6640625" customWidth="1"/>
    <col min="12544" max="12544" width="88.6640625" customWidth="1"/>
    <col min="12545" max="12545" width="10" bestFit="1" customWidth="1"/>
    <col min="12546" max="12546" width="5.44140625" bestFit="1" customWidth="1"/>
    <col min="12547" max="12547" width="20.109375" customWidth="1"/>
    <col min="12548" max="12548" width="10.6640625" customWidth="1"/>
    <col min="12549" max="12550" width="15.6640625" customWidth="1"/>
    <col min="12551" max="12551" width="10.6640625" customWidth="1"/>
    <col min="12552" max="12552" width="15.6640625" customWidth="1"/>
    <col min="12800" max="12800" width="88.6640625" customWidth="1"/>
    <col min="12801" max="12801" width="10" bestFit="1" customWidth="1"/>
    <col min="12802" max="12802" width="5.44140625" bestFit="1" customWidth="1"/>
    <col min="12803" max="12803" width="20.109375" customWidth="1"/>
    <col min="12804" max="12804" width="10.6640625" customWidth="1"/>
    <col min="12805" max="12806" width="15.6640625" customWidth="1"/>
    <col min="12807" max="12807" width="10.6640625" customWidth="1"/>
    <col min="12808" max="12808" width="15.6640625" customWidth="1"/>
    <col min="13056" max="13056" width="88.6640625" customWidth="1"/>
    <col min="13057" max="13057" width="10" bestFit="1" customWidth="1"/>
    <col min="13058" max="13058" width="5.44140625" bestFit="1" customWidth="1"/>
    <col min="13059" max="13059" width="20.109375" customWidth="1"/>
    <col min="13060" max="13060" width="10.6640625" customWidth="1"/>
    <col min="13061" max="13062" width="15.6640625" customWidth="1"/>
    <col min="13063" max="13063" width="10.6640625" customWidth="1"/>
    <col min="13064" max="13064" width="15.6640625" customWidth="1"/>
    <col min="13312" max="13312" width="88.6640625" customWidth="1"/>
    <col min="13313" max="13313" width="10" bestFit="1" customWidth="1"/>
    <col min="13314" max="13314" width="5.44140625" bestFit="1" customWidth="1"/>
    <col min="13315" max="13315" width="20.109375" customWidth="1"/>
    <col min="13316" max="13316" width="10.6640625" customWidth="1"/>
    <col min="13317" max="13318" width="15.6640625" customWidth="1"/>
    <col min="13319" max="13319" width="10.6640625" customWidth="1"/>
    <col min="13320" max="13320" width="15.6640625" customWidth="1"/>
    <col min="13568" max="13568" width="88.6640625" customWidth="1"/>
    <col min="13569" max="13569" width="10" bestFit="1" customWidth="1"/>
    <col min="13570" max="13570" width="5.44140625" bestFit="1" customWidth="1"/>
    <col min="13571" max="13571" width="20.109375" customWidth="1"/>
    <col min="13572" max="13572" width="10.6640625" customWidth="1"/>
    <col min="13573" max="13574" width="15.6640625" customWidth="1"/>
    <col min="13575" max="13575" width="10.6640625" customWidth="1"/>
    <col min="13576" max="13576" width="15.6640625" customWidth="1"/>
    <col min="13824" max="13824" width="88.6640625" customWidth="1"/>
    <col min="13825" max="13825" width="10" bestFit="1" customWidth="1"/>
    <col min="13826" max="13826" width="5.44140625" bestFit="1" customWidth="1"/>
    <col min="13827" max="13827" width="20.109375" customWidth="1"/>
    <col min="13828" max="13828" width="10.6640625" customWidth="1"/>
    <col min="13829" max="13830" width="15.6640625" customWidth="1"/>
    <col min="13831" max="13831" width="10.6640625" customWidth="1"/>
    <col min="13832" max="13832" width="15.6640625" customWidth="1"/>
    <col min="14080" max="14080" width="88.6640625" customWidth="1"/>
    <col min="14081" max="14081" width="10" bestFit="1" customWidth="1"/>
    <col min="14082" max="14082" width="5.44140625" bestFit="1" customWidth="1"/>
    <col min="14083" max="14083" width="20.109375" customWidth="1"/>
    <col min="14084" max="14084" width="10.6640625" customWidth="1"/>
    <col min="14085" max="14086" width="15.6640625" customWidth="1"/>
    <col min="14087" max="14087" width="10.6640625" customWidth="1"/>
    <col min="14088" max="14088" width="15.6640625" customWidth="1"/>
    <col min="14336" max="14336" width="88.6640625" customWidth="1"/>
    <col min="14337" max="14337" width="10" bestFit="1" customWidth="1"/>
    <col min="14338" max="14338" width="5.44140625" bestFit="1" customWidth="1"/>
    <col min="14339" max="14339" width="20.109375" customWidth="1"/>
    <col min="14340" max="14340" width="10.6640625" customWidth="1"/>
    <col min="14341" max="14342" width="15.6640625" customWidth="1"/>
    <col min="14343" max="14343" width="10.6640625" customWidth="1"/>
    <col min="14344" max="14344" width="15.6640625" customWidth="1"/>
    <col min="14592" max="14592" width="88.6640625" customWidth="1"/>
    <col min="14593" max="14593" width="10" bestFit="1" customWidth="1"/>
    <col min="14594" max="14594" width="5.44140625" bestFit="1" customWidth="1"/>
    <col min="14595" max="14595" width="20.109375" customWidth="1"/>
    <col min="14596" max="14596" width="10.6640625" customWidth="1"/>
    <col min="14597" max="14598" width="15.6640625" customWidth="1"/>
    <col min="14599" max="14599" width="10.6640625" customWidth="1"/>
    <col min="14600" max="14600" width="15.6640625" customWidth="1"/>
    <col min="14848" max="14848" width="88.6640625" customWidth="1"/>
    <col min="14849" max="14849" width="10" bestFit="1" customWidth="1"/>
    <col min="14850" max="14850" width="5.44140625" bestFit="1" customWidth="1"/>
    <col min="14851" max="14851" width="20.109375" customWidth="1"/>
    <col min="14852" max="14852" width="10.6640625" customWidth="1"/>
    <col min="14853" max="14854" width="15.6640625" customWidth="1"/>
    <col min="14855" max="14855" width="10.6640625" customWidth="1"/>
    <col min="14856" max="14856" width="15.6640625" customWidth="1"/>
    <col min="15104" max="15104" width="88.6640625" customWidth="1"/>
    <col min="15105" max="15105" width="10" bestFit="1" customWidth="1"/>
    <col min="15106" max="15106" width="5.44140625" bestFit="1" customWidth="1"/>
    <col min="15107" max="15107" width="20.109375" customWidth="1"/>
    <col min="15108" max="15108" width="10.6640625" customWidth="1"/>
    <col min="15109" max="15110" width="15.6640625" customWidth="1"/>
    <col min="15111" max="15111" width="10.6640625" customWidth="1"/>
    <col min="15112" max="15112" width="15.6640625" customWidth="1"/>
    <col min="15360" max="15360" width="88.6640625" customWidth="1"/>
    <col min="15361" max="15361" width="10" bestFit="1" customWidth="1"/>
    <col min="15362" max="15362" width="5.44140625" bestFit="1" customWidth="1"/>
    <col min="15363" max="15363" width="20.109375" customWidth="1"/>
    <col min="15364" max="15364" width="10.6640625" customWidth="1"/>
    <col min="15365" max="15366" width="15.6640625" customWidth="1"/>
    <col min="15367" max="15367" width="10.6640625" customWidth="1"/>
    <col min="15368" max="15368" width="15.6640625" customWidth="1"/>
    <col min="15616" max="15616" width="88.6640625" customWidth="1"/>
    <col min="15617" max="15617" width="10" bestFit="1" customWidth="1"/>
    <col min="15618" max="15618" width="5.44140625" bestFit="1" customWidth="1"/>
    <col min="15619" max="15619" width="20.109375" customWidth="1"/>
    <col min="15620" max="15620" width="10.6640625" customWidth="1"/>
    <col min="15621" max="15622" width="15.6640625" customWidth="1"/>
    <col min="15623" max="15623" width="10.6640625" customWidth="1"/>
    <col min="15624" max="15624" width="15.6640625" customWidth="1"/>
    <col min="15872" max="15872" width="88.6640625" customWidth="1"/>
    <col min="15873" max="15873" width="10" bestFit="1" customWidth="1"/>
    <col min="15874" max="15874" width="5.44140625" bestFit="1" customWidth="1"/>
    <col min="15875" max="15875" width="20.109375" customWidth="1"/>
    <col min="15876" max="15876" width="10.6640625" customWidth="1"/>
    <col min="15877" max="15878" width="15.6640625" customWidth="1"/>
    <col min="15879" max="15879" width="10.6640625" customWidth="1"/>
    <col min="15880" max="15880" width="15.6640625" customWidth="1"/>
    <col min="16128" max="16128" width="88.6640625" customWidth="1"/>
    <col min="16129" max="16129" width="10" bestFit="1" customWidth="1"/>
    <col min="16130" max="16130" width="5.44140625" bestFit="1" customWidth="1"/>
    <col min="16131" max="16131" width="20.109375" customWidth="1"/>
    <col min="16132" max="16132" width="10.6640625" customWidth="1"/>
    <col min="16133" max="16134" width="15.6640625" customWidth="1"/>
    <col min="16135" max="16135" width="10.6640625" customWidth="1"/>
    <col min="16136" max="16136" width="15.6640625" customWidth="1"/>
  </cols>
  <sheetData>
    <row r="1" spans="1:8" x14ac:dyDescent="0.25">
      <c r="B1" s="230"/>
      <c r="C1" s="231"/>
      <c r="D1" s="231"/>
      <c r="E1" s="270"/>
      <c r="F1" s="270"/>
      <c r="G1" s="231"/>
      <c r="H1" s="232"/>
    </row>
    <row r="2" spans="1:8" x14ac:dyDescent="0.25">
      <c r="B2" s="233" t="s">
        <v>6</v>
      </c>
      <c r="C2" s="196" t="s">
        <v>688</v>
      </c>
      <c r="D2" s="196" t="s">
        <v>689</v>
      </c>
      <c r="E2" s="271" t="s">
        <v>690</v>
      </c>
      <c r="F2" s="271" t="s">
        <v>691</v>
      </c>
      <c r="G2" s="10" t="s">
        <v>692</v>
      </c>
      <c r="H2" s="234" t="s">
        <v>693</v>
      </c>
    </row>
    <row r="3" spans="1:8" ht="15.6" x14ac:dyDescent="0.3">
      <c r="B3" s="235" t="s">
        <v>151</v>
      </c>
      <c r="C3" s="236"/>
      <c r="D3" s="236"/>
      <c r="H3" s="8"/>
    </row>
    <row r="4" spans="1:8" ht="15.6" x14ac:dyDescent="0.3">
      <c r="B4" s="235"/>
      <c r="C4" s="236"/>
      <c r="D4" s="236"/>
      <c r="F4" s="237">
        <f>F46+F66+F87+F104</f>
        <v>0</v>
      </c>
      <c r="G4" s="237"/>
      <c r="H4" s="237">
        <f>H46+H66+H87+H104+H106</f>
        <v>0</v>
      </c>
    </row>
    <row r="5" spans="1:8" ht="16.2" thickBot="1" x14ac:dyDescent="0.35">
      <c r="B5" s="235" t="s">
        <v>694</v>
      </c>
      <c r="C5" s="236"/>
      <c r="D5" s="236"/>
      <c r="H5" s="8"/>
    </row>
    <row r="6" spans="1:8" x14ac:dyDescent="0.25">
      <c r="A6" s="267">
        <v>1</v>
      </c>
      <c r="B6" t="s">
        <v>695</v>
      </c>
      <c r="C6">
        <v>1</v>
      </c>
      <c r="D6" t="s">
        <v>619</v>
      </c>
      <c r="E6" s="282"/>
      <c r="F6" s="84">
        <f t="shared" ref="F6:F27" si="0">C6*E6</f>
        <v>0</v>
      </c>
      <c r="G6" s="282"/>
      <c r="H6" s="281">
        <f t="shared" ref="H6:H27" si="1">C6*G6</f>
        <v>0</v>
      </c>
    </row>
    <row r="7" spans="1:8" x14ac:dyDescent="0.25">
      <c r="A7" s="268">
        <v>2</v>
      </c>
      <c r="B7" t="s">
        <v>696</v>
      </c>
      <c r="C7">
        <v>1</v>
      </c>
      <c r="D7" t="s">
        <v>619</v>
      </c>
      <c r="E7" s="282"/>
      <c r="F7" s="84">
        <f t="shared" si="0"/>
        <v>0</v>
      </c>
      <c r="G7" s="282"/>
      <c r="H7" s="281">
        <f t="shared" si="1"/>
        <v>0</v>
      </c>
    </row>
    <row r="8" spans="1:8" x14ac:dyDescent="0.25">
      <c r="A8" s="268">
        <v>3</v>
      </c>
      <c r="B8" t="s">
        <v>697</v>
      </c>
      <c r="C8">
        <v>1</v>
      </c>
      <c r="D8" t="s">
        <v>619</v>
      </c>
      <c r="E8" s="282"/>
      <c r="F8" s="84">
        <f t="shared" si="0"/>
        <v>0</v>
      </c>
      <c r="G8" s="282"/>
      <c r="H8" s="281">
        <f t="shared" si="1"/>
        <v>0</v>
      </c>
    </row>
    <row r="9" spans="1:8" x14ac:dyDescent="0.25">
      <c r="A9" s="268">
        <v>4</v>
      </c>
      <c r="B9" t="s">
        <v>698</v>
      </c>
      <c r="C9">
        <v>1</v>
      </c>
      <c r="D9" t="s">
        <v>619</v>
      </c>
      <c r="E9" s="282"/>
      <c r="F9" s="84">
        <f t="shared" si="0"/>
        <v>0</v>
      </c>
      <c r="G9" s="282"/>
      <c r="H9" s="281">
        <f t="shared" si="1"/>
        <v>0</v>
      </c>
    </row>
    <row r="10" spans="1:8" x14ac:dyDescent="0.25">
      <c r="A10" s="268">
        <v>5</v>
      </c>
      <c r="B10" t="s">
        <v>699</v>
      </c>
      <c r="C10">
        <v>4</v>
      </c>
      <c r="D10" t="s">
        <v>619</v>
      </c>
      <c r="E10" s="282"/>
      <c r="F10" s="84">
        <f t="shared" si="0"/>
        <v>0</v>
      </c>
      <c r="G10" s="282"/>
      <c r="H10" s="281">
        <f t="shared" si="1"/>
        <v>0</v>
      </c>
    </row>
    <row r="11" spans="1:8" x14ac:dyDescent="0.25">
      <c r="A11" s="268">
        <v>6</v>
      </c>
      <c r="B11" t="s">
        <v>700</v>
      </c>
      <c r="C11" s="196">
        <v>1</v>
      </c>
      <c r="D11" s="196" t="s">
        <v>619</v>
      </c>
      <c r="E11" s="282"/>
      <c r="F11" s="84">
        <f t="shared" si="0"/>
        <v>0</v>
      </c>
      <c r="G11" s="282"/>
      <c r="H11" s="281">
        <f t="shared" si="1"/>
        <v>0</v>
      </c>
    </row>
    <row r="12" spans="1:8" x14ac:dyDescent="0.25">
      <c r="A12" s="268">
        <v>7</v>
      </c>
      <c r="B12" t="s">
        <v>1259</v>
      </c>
      <c r="C12">
        <v>24</v>
      </c>
      <c r="D12" t="s">
        <v>619</v>
      </c>
      <c r="E12" s="282"/>
      <c r="F12" s="84">
        <f t="shared" si="0"/>
        <v>0</v>
      </c>
      <c r="G12" s="282"/>
      <c r="H12" s="281">
        <f t="shared" si="1"/>
        <v>0</v>
      </c>
    </row>
    <row r="13" spans="1:8" x14ac:dyDescent="0.25">
      <c r="A13" s="268">
        <v>8</v>
      </c>
      <c r="B13" t="s">
        <v>701</v>
      </c>
      <c r="C13">
        <v>11</v>
      </c>
      <c r="D13" t="s">
        <v>619</v>
      </c>
      <c r="E13" s="282"/>
      <c r="F13" s="84">
        <f t="shared" si="0"/>
        <v>0</v>
      </c>
      <c r="G13" s="282"/>
      <c r="H13" s="281">
        <f t="shared" si="1"/>
        <v>0</v>
      </c>
    </row>
    <row r="14" spans="1:8" x14ac:dyDescent="0.25">
      <c r="A14" s="268">
        <v>9</v>
      </c>
      <c r="B14" t="s">
        <v>702</v>
      </c>
      <c r="C14">
        <v>2</v>
      </c>
      <c r="D14" t="s">
        <v>619</v>
      </c>
      <c r="E14" s="282"/>
      <c r="F14" s="84">
        <f t="shared" si="0"/>
        <v>0</v>
      </c>
      <c r="G14" s="282"/>
      <c r="H14" s="281">
        <f t="shared" si="1"/>
        <v>0</v>
      </c>
    </row>
    <row r="15" spans="1:8" x14ac:dyDescent="0.25">
      <c r="A15" s="268">
        <v>10</v>
      </c>
      <c r="B15" t="s">
        <v>703</v>
      </c>
      <c r="C15">
        <v>5</v>
      </c>
      <c r="D15" t="s">
        <v>619</v>
      </c>
      <c r="E15" s="282"/>
      <c r="F15" s="84">
        <f t="shared" si="0"/>
        <v>0</v>
      </c>
      <c r="G15" s="282"/>
      <c r="H15" s="281">
        <f t="shared" si="1"/>
        <v>0</v>
      </c>
    </row>
    <row r="16" spans="1:8" x14ac:dyDescent="0.25">
      <c r="A16" s="268">
        <v>11</v>
      </c>
      <c r="B16" t="s">
        <v>704</v>
      </c>
      <c r="C16">
        <v>1</v>
      </c>
      <c r="D16" t="s">
        <v>619</v>
      </c>
      <c r="E16" s="282"/>
      <c r="F16" s="84">
        <f t="shared" si="0"/>
        <v>0</v>
      </c>
      <c r="G16" s="282"/>
      <c r="H16" s="281">
        <f t="shared" si="1"/>
        <v>0</v>
      </c>
    </row>
    <row r="17" spans="1:8" x14ac:dyDescent="0.25">
      <c r="A17" s="268">
        <v>12</v>
      </c>
      <c r="B17" t="s">
        <v>705</v>
      </c>
      <c r="C17">
        <v>2</v>
      </c>
      <c r="D17" t="s">
        <v>619</v>
      </c>
      <c r="E17" s="282"/>
      <c r="F17" s="84">
        <f t="shared" si="0"/>
        <v>0</v>
      </c>
      <c r="G17" s="282"/>
      <c r="H17" s="281">
        <f t="shared" si="1"/>
        <v>0</v>
      </c>
    </row>
    <row r="18" spans="1:8" x14ac:dyDescent="0.25">
      <c r="A18" s="268">
        <v>13</v>
      </c>
      <c r="B18" t="s">
        <v>706</v>
      </c>
      <c r="C18">
        <v>2</v>
      </c>
      <c r="D18" t="s">
        <v>619</v>
      </c>
      <c r="E18" s="282"/>
      <c r="F18" s="84">
        <f t="shared" si="0"/>
        <v>0</v>
      </c>
      <c r="G18" s="84"/>
      <c r="H18" s="281">
        <f t="shared" si="1"/>
        <v>0</v>
      </c>
    </row>
    <row r="19" spans="1:8" x14ac:dyDescent="0.25">
      <c r="A19" s="268">
        <v>14</v>
      </c>
      <c r="B19" t="s">
        <v>707</v>
      </c>
      <c r="C19">
        <v>4</v>
      </c>
      <c r="D19" t="s">
        <v>619</v>
      </c>
      <c r="E19" s="282"/>
      <c r="F19" s="84">
        <f t="shared" si="0"/>
        <v>0</v>
      </c>
      <c r="G19" s="282"/>
      <c r="H19" s="281">
        <f t="shared" si="1"/>
        <v>0</v>
      </c>
    </row>
    <row r="20" spans="1:8" x14ac:dyDescent="0.25">
      <c r="A20" s="268">
        <v>15</v>
      </c>
      <c r="B20" t="s">
        <v>708</v>
      </c>
      <c r="C20">
        <v>1</v>
      </c>
      <c r="D20" t="s">
        <v>619</v>
      </c>
      <c r="E20" s="282"/>
      <c r="F20" s="84">
        <f t="shared" si="0"/>
        <v>0</v>
      </c>
      <c r="G20" s="282"/>
      <c r="H20" s="281">
        <f t="shared" si="1"/>
        <v>0</v>
      </c>
    </row>
    <row r="21" spans="1:8" x14ac:dyDescent="0.25">
      <c r="A21" s="268">
        <v>16</v>
      </c>
      <c r="B21" t="s">
        <v>709</v>
      </c>
      <c r="C21">
        <v>1</v>
      </c>
      <c r="D21" t="s">
        <v>619</v>
      </c>
      <c r="E21" s="282"/>
      <c r="F21" s="84">
        <f t="shared" si="0"/>
        <v>0</v>
      </c>
      <c r="G21" s="282"/>
      <c r="H21" s="281">
        <f t="shared" si="1"/>
        <v>0</v>
      </c>
    </row>
    <row r="22" spans="1:8" ht="12.75" customHeight="1" x14ac:dyDescent="0.25">
      <c r="A22" s="268">
        <v>17</v>
      </c>
      <c r="B22" s="264" t="s">
        <v>1244</v>
      </c>
      <c r="C22">
        <v>1</v>
      </c>
      <c r="D22" t="s">
        <v>619</v>
      </c>
      <c r="E22" s="282"/>
      <c r="F22" s="84">
        <f t="shared" si="0"/>
        <v>0</v>
      </c>
      <c r="G22" s="282"/>
      <c r="H22" s="281">
        <f t="shared" si="1"/>
        <v>0</v>
      </c>
    </row>
    <row r="23" spans="1:8" ht="12.75" customHeight="1" x14ac:dyDescent="0.25">
      <c r="A23" s="268">
        <v>18</v>
      </c>
      <c r="B23" s="264" t="s">
        <v>1245</v>
      </c>
      <c r="C23">
        <v>1</v>
      </c>
      <c r="D23" t="s">
        <v>619</v>
      </c>
      <c r="E23" s="282"/>
      <c r="F23" s="84">
        <f t="shared" si="0"/>
        <v>0</v>
      </c>
      <c r="G23" s="282"/>
      <c r="H23" s="281">
        <f t="shared" si="1"/>
        <v>0</v>
      </c>
    </row>
    <row r="24" spans="1:8" x14ac:dyDescent="0.25">
      <c r="A24" s="268">
        <v>19</v>
      </c>
      <c r="B24" t="s">
        <v>710</v>
      </c>
      <c r="C24">
        <v>1</v>
      </c>
      <c r="D24" t="s">
        <v>619</v>
      </c>
      <c r="E24" s="282"/>
      <c r="F24" s="84">
        <f t="shared" si="0"/>
        <v>0</v>
      </c>
      <c r="G24" s="282"/>
      <c r="H24" s="281">
        <f t="shared" si="1"/>
        <v>0</v>
      </c>
    </row>
    <row r="25" spans="1:8" x14ac:dyDescent="0.25">
      <c r="A25" s="268">
        <v>20</v>
      </c>
      <c r="B25" t="s">
        <v>711</v>
      </c>
      <c r="C25">
        <v>1</v>
      </c>
      <c r="D25" t="s">
        <v>619</v>
      </c>
      <c r="E25" s="282"/>
      <c r="F25" s="84">
        <f t="shared" si="0"/>
        <v>0</v>
      </c>
      <c r="G25" s="282"/>
      <c r="H25" s="281">
        <f t="shared" si="1"/>
        <v>0</v>
      </c>
    </row>
    <row r="26" spans="1:8" x14ac:dyDescent="0.25">
      <c r="A26" s="268">
        <v>21</v>
      </c>
      <c r="B26" t="s">
        <v>712</v>
      </c>
      <c r="C26">
        <v>1</v>
      </c>
      <c r="D26" t="s">
        <v>619</v>
      </c>
      <c r="E26" s="282"/>
      <c r="F26" s="84">
        <f t="shared" si="0"/>
        <v>0</v>
      </c>
      <c r="G26" s="282"/>
      <c r="H26" s="281">
        <f t="shared" si="1"/>
        <v>0</v>
      </c>
    </row>
    <row r="27" spans="1:8" x14ac:dyDescent="0.25">
      <c r="A27" s="268">
        <v>22</v>
      </c>
      <c r="B27" t="s">
        <v>713</v>
      </c>
      <c r="C27">
        <v>1</v>
      </c>
      <c r="D27" t="s">
        <v>619</v>
      </c>
      <c r="E27" s="282"/>
      <c r="F27" s="84">
        <f t="shared" si="0"/>
        <v>0</v>
      </c>
      <c r="G27" s="282"/>
      <c r="H27" s="281">
        <f t="shared" si="1"/>
        <v>0</v>
      </c>
    </row>
    <row r="28" spans="1:8" x14ac:dyDescent="0.25">
      <c r="A28" s="268">
        <v>23</v>
      </c>
      <c r="B28" t="s">
        <v>714</v>
      </c>
      <c r="C28">
        <v>160</v>
      </c>
      <c r="D28" t="s">
        <v>178</v>
      </c>
      <c r="E28" s="282"/>
      <c r="F28" s="84">
        <f t="shared" ref="F28:F45" si="2">C28*E28</f>
        <v>0</v>
      </c>
      <c r="G28" s="282"/>
      <c r="H28" s="281">
        <f t="shared" ref="H28:H45" si="3">C28*G28</f>
        <v>0</v>
      </c>
    </row>
    <row r="29" spans="1:8" x14ac:dyDescent="0.25">
      <c r="A29" s="268">
        <v>24</v>
      </c>
      <c r="B29" t="s">
        <v>715</v>
      </c>
      <c r="C29">
        <v>72</v>
      </c>
      <c r="D29" t="s">
        <v>178</v>
      </c>
      <c r="E29" s="282"/>
      <c r="F29" s="84">
        <f t="shared" si="2"/>
        <v>0</v>
      </c>
      <c r="G29" s="282"/>
      <c r="H29" s="281">
        <f t="shared" si="3"/>
        <v>0</v>
      </c>
    </row>
    <row r="30" spans="1:8" x14ac:dyDescent="0.25">
      <c r="A30" s="268">
        <v>25</v>
      </c>
      <c r="B30" t="s">
        <v>716</v>
      </c>
      <c r="C30">
        <v>143</v>
      </c>
      <c r="D30" t="s">
        <v>178</v>
      </c>
      <c r="E30" s="282"/>
      <c r="F30" s="84">
        <f t="shared" si="2"/>
        <v>0</v>
      </c>
      <c r="G30" s="282"/>
      <c r="H30" s="281">
        <f t="shared" si="3"/>
        <v>0</v>
      </c>
    </row>
    <row r="31" spans="1:8" x14ac:dyDescent="0.25">
      <c r="A31" s="268">
        <v>26</v>
      </c>
      <c r="B31" s="265" t="s">
        <v>1246</v>
      </c>
      <c r="C31">
        <v>14</v>
      </c>
      <c r="D31" t="s">
        <v>178</v>
      </c>
      <c r="E31" s="282"/>
      <c r="F31" s="84">
        <f t="shared" si="2"/>
        <v>0</v>
      </c>
      <c r="G31" s="282"/>
      <c r="H31" s="281">
        <f t="shared" si="3"/>
        <v>0</v>
      </c>
    </row>
    <row r="32" spans="1:8" x14ac:dyDescent="0.25">
      <c r="A32" s="268">
        <v>27</v>
      </c>
      <c r="B32" t="s">
        <v>717</v>
      </c>
      <c r="C32">
        <v>123</v>
      </c>
      <c r="D32" t="s">
        <v>178</v>
      </c>
      <c r="E32" s="282"/>
      <c r="F32" s="84">
        <f t="shared" si="2"/>
        <v>0</v>
      </c>
      <c r="G32" s="282"/>
      <c r="H32" s="281">
        <f t="shared" si="3"/>
        <v>0</v>
      </c>
    </row>
    <row r="33" spans="1:8" x14ac:dyDescent="0.25">
      <c r="A33" s="268">
        <v>28</v>
      </c>
      <c r="B33" t="s">
        <v>718</v>
      </c>
      <c r="C33">
        <v>16</v>
      </c>
      <c r="D33" t="s">
        <v>178</v>
      </c>
      <c r="E33" s="282"/>
      <c r="F33" s="84">
        <f t="shared" si="2"/>
        <v>0</v>
      </c>
      <c r="G33" s="282"/>
      <c r="H33" s="281">
        <f t="shared" si="3"/>
        <v>0</v>
      </c>
    </row>
    <row r="34" spans="1:8" x14ac:dyDescent="0.25">
      <c r="A34" s="268">
        <v>29</v>
      </c>
      <c r="B34" t="s">
        <v>719</v>
      </c>
      <c r="C34">
        <v>16</v>
      </c>
      <c r="D34" t="s">
        <v>178</v>
      </c>
      <c r="E34" s="282"/>
      <c r="F34" s="84">
        <f t="shared" si="2"/>
        <v>0</v>
      </c>
      <c r="G34" s="282"/>
      <c r="H34" s="281">
        <f t="shared" si="3"/>
        <v>0</v>
      </c>
    </row>
    <row r="35" spans="1:8" x14ac:dyDescent="0.25">
      <c r="A35" s="268">
        <v>30</v>
      </c>
      <c r="B35" t="s">
        <v>720</v>
      </c>
      <c r="C35">
        <v>12</v>
      </c>
      <c r="D35" t="s">
        <v>178</v>
      </c>
      <c r="E35" s="282"/>
      <c r="F35" s="84">
        <f t="shared" si="2"/>
        <v>0</v>
      </c>
      <c r="G35" s="282"/>
      <c r="H35" s="281">
        <f t="shared" si="3"/>
        <v>0</v>
      </c>
    </row>
    <row r="36" spans="1:8" x14ac:dyDescent="0.25">
      <c r="A36" s="268">
        <v>31</v>
      </c>
      <c r="B36" t="s">
        <v>721</v>
      </c>
      <c r="C36">
        <v>5</v>
      </c>
      <c r="D36" t="s">
        <v>178</v>
      </c>
      <c r="E36" s="282"/>
      <c r="F36" s="84">
        <f t="shared" si="2"/>
        <v>0</v>
      </c>
      <c r="G36" s="282"/>
      <c r="H36" s="281">
        <f t="shared" si="3"/>
        <v>0</v>
      </c>
    </row>
    <row r="37" spans="1:8" x14ac:dyDescent="0.25">
      <c r="A37" s="268">
        <v>32</v>
      </c>
      <c r="B37" t="s">
        <v>722</v>
      </c>
      <c r="C37">
        <v>8</v>
      </c>
      <c r="D37" t="s">
        <v>178</v>
      </c>
      <c r="E37" s="282"/>
      <c r="F37" s="84">
        <f t="shared" si="2"/>
        <v>0</v>
      </c>
      <c r="G37" s="282"/>
      <c r="H37" s="281">
        <f t="shared" si="3"/>
        <v>0</v>
      </c>
    </row>
    <row r="38" spans="1:8" x14ac:dyDescent="0.25">
      <c r="A38" s="268">
        <v>33</v>
      </c>
      <c r="B38" t="s">
        <v>723</v>
      </c>
      <c r="C38">
        <v>4</v>
      </c>
      <c r="D38" t="s">
        <v>178</v>
      </c>
      <c r="E38" s="282"/>
      <c r="F38" s="84">
        <f t="shared" si="2"/>
        <v>0</v>
      </c>
      <c r="G38" s="282"/>
      <c r="H38" s="281">
        <f t="shared" si="3"/>
        <v>0</v>
      </c>
    </row>
    <row r="39" spans="1:8" x14ac:dyDescent="0.25">
      <c r="A39" s="268">
        <v>34</v>
      </c>
      <c r="B39" t="s">
        <v>724</v>
      </c>
      <c r="C39">
        <v>2</v>
      </c>
      <c r="D39" t="s">
        <v>178</v>
      </c>
      <c r="E39" s="282"/>
      <c r="F39" s="84">
        <f t="shared" si="2"/>
        <v>0</v>
      </c>
      <c r="G39" s="282"/>
      <c r="H39" s="281">
        <f t="shared" si="3"/>
        <v>0</v>
      </c>
    </row>
    <row r="40" spans="1:8" x14ac:dyDescent="0.25">
      <c r="A40" s="268">
        <v>35</v>
      </c>
      <c r="B40" t="s">
        <v>725</v>
      </c>
      <c r="C40">
        <v>1</v>
      </c>
      <c r="D40" t="s">
        <v>726</v>
      </c>
      <c r="E40" s="282"/>
      <c r="F40" s="84">
        <f t="shared" si="2"/>
        <v>0</v>
      </c>
      <c r="G40" s="282"/>
      <c r="H40" s="281">
        <f t="shared" si="3"/>
        <v>0</v>
      </c>
    </row>
    <row r="41" spans="1:8" x14ac:dyDescent="0.25">
      <c r="A41" s="268">
        <v>36</v>
      </c>
      <c r="B41" t="s">
        <v>727</v>
      </c>
      <c r="C41">
        <v>1</v>
      </c>
      <c r="D41" t="s">
        <v>726</v>
      </c>
      <c r="E41" s="282"/>
      <c r="F41" s="84">
        <f t="shared" si="2"/>
        <v>0</v>
      </c>
      <c r="G41" s="84"/>
      <c r="H41" s="281">
        <f t="shared" si="3"/>
        <v>0</v>
      </c>
    </row>
    <row r="42" spans="1:8" x14ac:dyDescent="0.25">
      <c r="A42" s="268">
        <v>37</v>
      </c>
      <c r="B42" t="s">
        <v>728</v>
      </c>
      <c r="C42">
        <v>1</v>
      </c>
      <c r="D42" t="s">
        <v>726</v>
      </c>
      <c r="E42" s="282"/>
      <c r="F42" s="84">
        <f t="shared" si="2"/>
        <v>0</v>
      </c>
      <c r="G42" s="282"/>
      <c r="H42" s="281">
        <f t="shared" si="3"/>
        <v>0</v>
      </c>
    </row>
    <row r="43" spans="1:8" x14ac:dyDescent="0.25">
      <c r="A43" s="268">
        <v>38</v>
      </c>
      <c r="B43" t="s">
        <v>729</v>
      </c>
      <c r="C43">
        <v>1</v>
      </c>
      <c r="D43" t="s">
        <v>726</v>
      </c>
      <c r="E43" s="282"/>
      <c r="F43" s="84">
        <f t="shared" si="2"/>
        <v>0</v>
      </c>
      <c r="G43" s="84"/>
      <c r="H43" s="281">
        <f t="shared" si="3"/>
        <v>0</v>
      </c>
    </row>
    <row r="44" spans="1:8" x14ac:dyDescent="0.25">
      <c r="A44" s="590">
        <v>39</v>
      </c>
      <c r="B44" s="591" t="s">
        <v>730</v>
      </c>
      <c r="C44" s="591">
        <v>0</v>
      </c>
      <c r="D44" s="591" t="s">
        <v>726</v>
      </c>
      <c r="E44" s="592"/>
      <c r="F44" s="592">
        <f t="shared" si="2"/>
        <v>0</v>
      </c>
      <c r="G44" s="593"/>
      <c r="H44" s="594">
        <f t="shared" si="3"/>
        <v>0</v>
      </c>
    </row>
    <row r="45" spans="1:8" x14ac:dyDescent="0.25">
      <c r="A45" s="268">
        <v>40</v>
      </c>
      <c r="B45" s="196" t="s">
        <v>731</v>
      </c>
      <c r="C45">
        <v>1</v>
      </c>
      <c r="D45" t="s">
        <v>726</v>
      </c>
      <c r="E45" s="282"/>
      <c r="F45" s="84">
        <f t="shared" si="2"/>
        <v>0</v>
      </c>
      <c r="G45" s="282"/>
      <c r="H45" s="281">
        <f t="shared" si="3"/>
        <v>0</v>
      </c>
    </row>
    <row r="46" spans="1:8" x14ac:dyDescent="0.25">
      <c r="A46" s="268"/>
      <c r="F46" s="237">
        <f>SUM(F6:F45)</f>
        <v>0</v>
      </c>
      <c r="G46" s="237"/>
      <c r="H46" s="237">
        <f t="shared" ref="H46" si="4">SUM(H6:H45)</f>
        <v>0</v>
      </c>
    </row>
    <row r="47" spans="1:8" x14ac:dyDescent="0.25">
      <c r="A47" s="268"/>
      <c r="G47" s="84"/>
      <c r="H47" s="281"/>
    </row>
    <row r="48" spans="1:8" ht="15.6" x14ac:dyDescent="0.3">
      <c r="A48" s="268"/>
      <c r="B48" s="117" t="s">
        <v>732</v>
      </c>
      <c r="G48" s="84"/>
      <c r="H48" s="281"/>
    </row>
    <row r="49" spans="1:8" x14ac:dyDescent="0.25">
      <c r="A49" s="268">
        <v>41</v>
      </c>
      <c r="B49" s="52" t="s">
        <v>733</v>
      </c>
      <c r="C49">
        <v>1</v>
      </c>
      <c r="D49" t="s">
        <v>619</v>
      </c>
      <c r="E49" s="282"/>
      <c r="F49" s="84">
        <f>C49*E49</f>
        <v>0</v>
      </c>
      <c r="G49" s="282"/>
      <c r="H49" s="281">
        <f>C49*G49</f>
        <v>0</v>
      </c>
    </row>
    <row r="50" spans="1:8" x14ac:dyDescent="0.25">
      <c r="A50" s="268">
        <v>42</v>
      </c>
      <c r="B50" t="s">
        <v>734</v>
      </c>
      <c r="C50">
        <v>1</v>
      </c>
      <c r="D50" t="s">
        <v>619</v>
      </c>
      <c r="E50" s="282"/>
      <c r="F50" s="84">
        <f>C50*E50</f>
        <v>0</v>
      </c>
      <c r="G50" s="282"/>
      <c r="H50" s="281">
        <f>C50*G50</f>
        <v>0</v>
      </c>
    </row>
    <row r="51" spans="1:8" ht="12.75" customHeight="1" x14ac:dyDescent="0.25">
      <c r="A51" s="268">
        <v>43</v>
      </c>
      <c r="B51" t="s">
        <v>735</v>
      </c>
      <c r="C51">
        <v>1</v>
      </c>
      <c r="D51" t="s">
        <v>619</v>
      </c>
      <c r="E51" s="282"/>
      <c r="F51" s="84">
        <f>C51*E51</f>
        <v>0</v>
      </c>
      <c r="G51" s="282"/>
      <c r="H51" s="281">
        <f>C51*G51</f>
        <v>0</v>
      </c>
    </row>
    <row r="52" spans="1:8" ht="12.75" customHeight="1" x14ac:dyDescent="0.25">
      <c r="A52" s="268">
        <v>44</v>
      </c>
      <c r="B52" t="s">
        <v>736</v>
      </c>
      <c r="C52">
        <v>1</v>
      </c>
      <c r="D52" t="s">
        <v>619</v>
      </c>
      <c r="E52" s="282"/>
      <c r="F52" s="84">
        <f>C52*E52</f>
        <v>0</v>
      </c>
      <c r="G52" s="282"/>
      <c r="H52" s="281">
        <f>C52*G52</f>
        <v>0</v>
      </c>
    </row>
    <row r="53" spans="1:8" ht="12.75" customHeight="1" x14ac:dyDescent="0.25">
      <c r="A53" s="268">
        <v>45</v>
      </c>
      <c r="B53" t="s">
        <v>737</v>
      </c>
      <c r="C53">
        <v>2</v>
      </c>
      <c r="D53" t="s">
        <v>619</v>
      </c>
      <c r="E53" s="282"/>
      <c r="F53" s="84">
        <f>C53*E53</f>
        <v>0</v>
      </c>
      <c r="G53" s="282"/>
      <c r="H53" s="281">
        <f>C53*G53</f>
        <v>0</v>
      </c>
    </row>
    <row r="54" spans="1:8" ht="12.75" customHeight="1" x14ac:dyDescent="0.25">
      <c r="A54" s="268">
        <v>46</v>
      </c>
      <c r="B54" s="266" t="s">
        <v>1247</v>
      </c>
      <c r="C54">
        <v>48</v>
      </c>
      <c r="D54" t="s">
        <v>178</v>
      </c>
      <c r="E54" s="282"/>
      <c r="F54" s="84">
        <f t="shared" ref="F54:F65" si="5">C54*E54</f>
        <v>0</v>
      </c>
      <c r="G54" s="282"/>
      <c r="H54" s="281">
        <f t="shared" ref="H54:H65" si="6">C54*G54</f>
        <v>0</v>
      </c>
    </row>
    <row r="55" spans="1:8" ht="12.75" customHeight="1" x14ac:dyDescent="0.25">
      <c r="A55" s="268">
        <v>47</v>
      </c>
      <c r="B55" s="266" t="s">
        <v>1248</v>
      </c>
      <c r="C55">
        <v>8</v>
      </c>
      <c r="D55" t="s">
        <v>178</v>
      </c>
      <c r="E55" s="282"/>
      <c r="F55" s="84">
        <f t="shared" si="5"/>
        <v>0</v>
      </c>
      <c r="G55" s="282"/>
      <c r="H55" s="281">
        <f t="shared" si="6"/>
        <v>0</v>
      </c>
    </row>
    <row r="56" spans="1:8" ht="12.75" customHeight="1" x14ac:dyDescent="0.25">
      <c r="A56" s="268">
        <v>48</v>
      </c>
      <c r="B56" t="s">
        <v>715</v>
      </c>
      <c r="C56">
        <v>148</v>
      </c>
      <c r="D56" t="s">
        <v>178</v>
      </c>
      <c r="E56" s="282"/>
      <c r="F56" s="84">
        <f t="shared" si="5"/>
        <v>0</v>
      </c>
      <c r="G56" s="282"/>
      <c r="H56" s="281">
        <f t="shared" si="6"/>
        <v>0</v>
      </c>
    </row>
    <row r="57" spans="1:8" ht="12.75" customHeight="1" x14ac:dyDescent="0.25">
      <c r="A57" s="268">
        <v>49</v>
      </c>
      <c r="B57" s="265" t="s">
        <v>1246</v>
      </c>
      <c r="C57">
        <v>123</v>
      </c>
      <c r="D57" t="s">
        <v>178</v>
      </c>
      <c r="E57" s="282"/>
      <c r="F57" s="84">
        <f t="shared" si="5"/>
        <v>0</v>
      </c>
      <c r="G57" s="282"/>
      <c r="H57" s="281">
        <f t="shared" si="6"/>
        <v>0</v>
      </c>
    </row>
    <row r="58" spans="1:8" ht="12.75" customHeight="1" x14ac:dyDescent="0.25">
      <c r="A58" s="268">
        <v>50</v>
      </c>
      <c r="B58" s="196" t="s">
        <v>718</v>
      </c>
      <c r="C58">
        <v>6</v>
      </c>
      <c r="D58" t="s">
        <v>178</v>
      </c>
      <c r="E58" s="282"/>
      <c r="F58" s="84">
        <f t="shared" si="5"/>
        <v>0</v>
      </c>
      <c r="G58" s="282"/>
      <c r="H58" s="281">
        <f t="shared" si="6"/>
        <v>0</v>
      </c>
    </row>
    <row r="59" spans="1:8" x14ac:dyDescent="0.25">
      <c r="A59" s="268">
        <v>51</v>
      </c>
      <c r="B59" t="s">
        <v>719</v>
      </c>
      <c r="C59">
        <v>6</v>
      </c>
      <c r="D59" t="s">
        <v>178</v>
      </c>
      <c r="E59" s="282"/>
      <c r="F59" s="84">
        <f t="shared" si="5"/>
        <v>0</v>
      </c>
      <c r="G59" s="282"/>
      <c r="H59" s="281">
        <f t="shared" si="6"/>
        <v>0</v>
      </c>
    </row>
    <row r="60" spans="1:8" x14ac:dyDescent="0.25">
      <c r="A60" s="268">
        <v>52</v>
      </c>
      <c r="B60" t="s">
        <v>722</v>
      </c>
      <c r="C60">
        <v>8</v>
      </c>
      <c r="D60" t="s">
        <v>178</v>
      </c>
      <c r="E60" s="282"/>
      <c r="F60" s="84">
        <f t="shared" si="5"/>
        <v>0</v>
      </c>
      <c r="G60" s="282"/>
      <c r="H60" s="281">
        <f t="shared" si="6"/>
        <v>0</v>
      </c>
    </row>
    <row r="61" spans="1:8" ht="12.75" customHeight="1" x14ac:dyDescent="0.25">
      <c r="A61" s="268">
        <v>53</v>
      </c>
      <c r="B61" t="s">
        <v>723</v>
      </c>
      <c r="C61">
        <v>8</v>
      </c>
      <c r="D61" t="s">
        <v>178</v>
      </c>
      <c r="E61" s="282"/>
      <c r="F61" s="84">
        <f t="shared" si="5"/>
        <v>0</v>
      </c>
      <c r="G61" s="282"/>
      <c r="H61" s="281">
        <f t="shared" si="6"/>
        <v>0</v>
      </c>
    </row>
    <row r="62" spans="1:8" ht="12.75" customHeight="1" x14ac:dyDescent="0.25">
      <c r="A62" s="268">
        <v>54</v>
      </c>
      <c r="B62" t="s">
        <v>724</v>
      </c>
      <c r="C62">
        <v>2</v>
      </c>
      <c r="D62" t="s">
        <v>178</v>
      </c>
      <c r="E62" s="282"/>
      <c r="F62" s="84">
        <f t="shared" si="5"/>
        <v>0</v>
      </c>
      <c r="G62" s="282"/>
      <c r="H62" s="281">
        <f t="shared" si="6"/>
        <v>0</v>
      </c>
    </row>
    <row r="63" spans="1:8" ht="12.75" customHeight="1" x14ac:dyDescent="0.25">
      <c r="A63" s="268">
        <v>55</v>
      </c>
      <c r="B63" t="s">
        <v>727</v>
      </c>
      <c r="C63">
        <v>1</v>
      </c>
      <c r="D63" t="s">
        <v>726</v>
      </c>
      <c r="E63" s="282"/>
      <c r="F63" s="84">
        <f t="shared" si="5"/>
        <v>0</v>
      </c>
      <c r="G63" s="84"/>
      <c r="H63" s="281">
        <f t="shared" si="6"/>
        <v>0</v>
      </c>
    </row>
    <row r="64" spans="1:8" ht="12.75" customHeight="1" x14ac:dyDescent="0.25">
      <c r="A64" s="590">
        <v>56</v>
      </c>
      <c r="B64" s="591" t="s">
        <v>730</v>
      </c>
      <c r="C64" s="591">
        <v>0</v>
      </c>
      <c r="D64" s="591" t="s">
        <v>726</v>
      </c>
      <c r="E64" s="592"/>
      <c r="F64" s="592">
        <f t="shared" si="5"/>
        <v>0</v>
      </c>
      <c r="G64" s="593"/>
      <c r="H64" s="594">
        <f t="shared" si="6"/>
        <v>0</v>
      </c>
    </row>
    <row r="65" spans="1:8" ht="12.75" customHeight="1" x14ac:dyDescent="0.25">
      <c r="A65" s="268">
        <v>57</v>
      </c>
      <c r="B65" t="s">
        <v>731</v>
      </c>
      <c r="C65">
        <v>1</v>
      </c>
      <c r="D65" t="s">
        <v>726</v>
      </c>
      <c r="E65" s="282"/>
      <c r="F65" s="84">
        <f t="shared" si="5"/>
        <v>0</v>
      </c>
      <c r="G65" s="282"/>
      <c r="H65" s="281">
        <f t="shared" si="6"/>
        <v>0</v>
      </c>
    </row>
    <row r="66" spans="1:8" ht="12.75" customHeight="1" x14ac:dyDescent="0.25">
      <c r="A66" s="268"/>
      <c r="F66" s="237">
        <f>SUM(F49:F65)</f>
        <v>0</v>
      </c>
      <c r="G66" s="237"/>
      <c r="H66" s="237">
        <f t="shared" ref="H66" si="7">SUM(H49:H65)</f>
        <v>0</v>
      </c>
    </row>
    <row r="67" spans="1:8" ht="12.75" customHeight="1" x14ac:dyDescent="0.25">
      <c r="A67" s="268"/>
      <c r="G67" s="84"/>
      <c r="H67" s="281"/>
    </row>
    <row r="68" spans="1:8" ht="12.75" customHeight="1" x14ac:dyDescent="0.3">
      <c r="A68" s="268"/>
      <c r="B68" s="117" t="s">
        <v>738</v>
      </c>
      <c r="G68" s="84"/>
      <c r="H68" s="281"/>
    </row>
    <row r="69" spans="1:8" ht="12.75" customHeight="1" x14ac:dyDescent="0.25">
      <c r="A69" s="268">
        <v>58</v>
      </c>
      <c r="B69" t="s">
        <v>739</v>
      </c>
      <c r="C69">
        <v>1</v>
      </c>
      <c r="D69" t="s">
        <v>619</v>
      </c>
      <c r="E69" s="282"/>
      <c r="F69" s="84">
        <f t="shared" ref="F69:F74" si="8">C69*E69</f>
        <v>0</v>
      </c>
      <c r="G69" s="282"/>
      <c r="H69" s="281">
        <f t="shared" ref="H69:H86" si="9">C69*G69</f>
        <v>0</v>
      </c>
    </row>
    <row r="70" spans="1:8" ht="12.75" customHeight="1" x14ac:dyDescent="0.25">
      <c r="A70" s="268">
        <v>59</v>
      </c>
      <c r="B70" t="s">
        <v>740</v>
      </c>
      <c r="C70">
        <v>1</v>
      </c>
      <c r="D70" t="s">
        <v>619</v>
      </c>
      <c r="E70" s="282"/>
      <c r="F70" s="84">
        <f t="shared" si="8"/>
        <v>0</v>
      </c>
      <c r="G70" s="282"/>
      <c r="H70" s="281">
        <f t="shared" si="9"/>
        <v>0</v>
      </c>
    </row>
    <row r="71" spans="1:8" ht="12.75" customHeight="1" x14ac:dyDescent="0.25">
      <c r="A71" s="268">
        <v>60</v>
      </c>
      <c r="B71" t="s">
        <v>741</v>
      </c>
      <c r="C71">
        <v>1</v>
      </c>
      <c r="D71" t="s">
        <v>619</v>
      </c>
      <c r="E71" s="282"/>
      <c r="F71" s="84">
        <f t="shared" si="8"/>
        <v>0</v>
      </c>
      <c r="G71" s="282"/>
      <c r="H71" s="281">
        <f t="shared" si="9"/>
        <v>0</v>
      </c>
    </row>
    <row r="72" spans="1:8" ht="12.75" customHeight="1" x14ac:dyDescent="0.25">
      <c r="A72" s="268">
        <v>61</v>
      </c>
      <c r="B72" t="s">
        <v>742</v>
      </c>
      <c r="C72">
        <v>1</v>
      </c>
      <c r="D72" t="s">
        <v>619</v>
      </c>
      <c r="E72" s="282"/>
      <c r="F72" s="84">
        <f t="shared" si="8"/>
        <v>0</v>
      </c>
      <c r="G72" s="282"/>
      <c r="H72" s="281">
        <f t="shared" si="9"/>
        <v>0</v>
      </c>
    </row>
    <row r="73" spans="1:8" ht="12.75" customHeight="1" x14ac:dyDescent="0.25">
      <c r="A73" s="268">
        <v>62</v>
      </c>
      <c r="B73" t="s">
        <v>743</v>
      </c>
      <c r="C73">
        <v>1</v>
      </c>
      <c r="D73" t="s">
        <v>619</v>
      </c>
      <c r="E73" s="282"/>
      <c r="F73" s="84">
        <f t="shared" si="8"/>
        <v>0</v>
      </c>
      <c r="G73" s="282"/>
      <c r="H73" s="281">
        <f t="shared" si="9"/>
        <v>0</v>
      </c>
    </row>
    <row r="74" spans="1:8" ht="12.75" customHeight="1" x14ac:dyDescent="0.25">
      <c r="A74" s="268">
        <v>63</v>
      </c>
      <c r="B74" t="s">
        <v>707</v>
      </c>
      <c r="C74">
        <v>4</v>
      </c>
      <c r="D74" t="s">
        <v>619</v>
      </c>
      <c r="E74" s="282"/>
      <c r="F74" s="84">
        <f t="shared" si="8"/>
        <v>0</v>
      </c>
      <c r="G74" s="282"/>
      <c r="H74" s="281">
        <f t="shared" si="9"/>
        <v>0</v>
      </c>
    </row>
    <row r="75" spans="1:8" ht="26.4" x14ac:dyDescent="0.25">
      <c r="A75" s="268">
        <v>64</v>
      </c>
      <c r="B75" s="266" t="s">
        <v>1248</v>
      </c>
      <c r="C75">
        <v>68.989999999999995</v>
      </c>
      <c r="D75" t="s">
        <v>178</v>
      </c>
      <c r="E75" s="282"/>
      <c r="F75" s="84">
        <f t="shared" ref="F75:F86" si="10">C75*E75</f>
        <v>0</v>
      </c>
      <c r="G75" s="282"/>
      <c r="H75" s="281">
        <f t="shared" si="9"/>
        <v>0</v>
      </c>
    </row>
    <row r="76" spans="1:8" x14ac:dyDescent="0.25">
      <c r="A76" s="268">
        <v>65</v>
      </c>
      <c r="B76" t="s">
        <v>715</v>
      </c>
      <c r="C76">
        <v>296</v>
      </c>
      <c r="D76" t="s">
        <v>178</v>
      </c>
      <c r="E76" s="282"/>
      <c r="F76" s="84">
        <f t="shared" si="10"/>
        <v>0</v>
      </c>
      <c r="G76" s="282"/>
      <c r="H76" s="281">
        <f t="shared" si="9"/>
        <v>0</v>
      </c>
    </row>
    <row r="77" spans="1:8" x14ac:dyDescent="0.25">
      <c r="A77" s="268">
        <v>66</v>
      </c>
      <c r="B77" s="265" t="s">
        <v>1246</v>
      </c>
      <c r="C77">
        <v>123</v>
      </c>
      <c r="D77" t="s">
        <v>178</v>
      </c>
      <c r="E77" s="282"/>
      <c r="F77" s="84">
        <f t="shared" si="10"/>
        <v>0</v>
      </c>
      <c r="G77" s="282"/>
      <c r="H77" s="281">
        <f t="shared" si="9"/>
        <v>0</v>
      </c>
    </row>
    <row r="78" spans="1:8" x14ac:dyDescent="0.25">
      <c r="A78" s="268">
        <v>67</v>
      </c>
      <c r="B78" t="s">
        <v>718</v>
      </c>
      <c r="C78">
        <v>10</v>
      </c>
      <c r="D78" t="s">
        <v>178</v>
      </c>
      <c r="E78" s="282"/>
      <c r="F78" s="84">
        <f t="shared" si="10"/>
        <v>0</v>
      </c>
      <c r="G78" s="282"/>
      <c r="H78" s="281">
        <f t="shared" si="9"/>
        <v>0</v>
      </c>
    </row>
    <row r="79" spans="1:8" x14ac:dyDescent="0.25">
      <c r="A79" s="268">
        <v>68</v>
      </c>
      <c r="B79" t="s">
        <v>719</v>
      </c>
      <c r="C79">
        <v>10</v>
      </c>
      <c r="D79" t="s">
        <v>178</v>
      </c>
      <c r="E79" s="282"/>
      <c r="F79" s="84">
        <f t="shared" si="10"/>
        <v>0</v>
      </c>
      <c r="G79" s="282"/>
      <c r="H79" s="281">
        <f t="shared" si="9"/>
        <v>0</v>
      </c>
    </row>
    <row r="80" spans="1:8" x14ac:dyDescent="0.25">
      <c r="A80" s="268">
        <v>69</v>
      </c>
      <c r="B80" t="s">
        <v>722</v>
      </c>
      <c r="C80">
        <v>6</v>
      </c>
      <c r="D80" t="s">
        <v>178</v>
      </c>
      <c r="E80" s="282"/>
      <c r="F80" s="84">
        <f t="shared" si="10"/>
        <v>0</v>
      </c>
      <c r="G80" s="282"/>
      <c r="H80" s="281">
        <f t="shared" si="9"/>
        <v>0</v>
      </c>
    </row>
    <row r="81" spans="1:8" x14ac:dyDescent="0.25">
      <c r="A81" s="268">
        <v>70</v>
      </c>
      <c r="B81" t="s">
        <v>723</v>
      </c>
      <c r="C81">
        <v>2</v>
      </c>
      <c r="D81" t="s">
        <v>178</v>
      </c>
      <c r="E81" s="282"/>
      <c r="F81" s="84">
        <f t="shared" si="10"/>
        <v>0</v>
      </c>
      <c r="G81" s="282"/>
      <c r="H81" s="281">
        <f t="shared" si="9"/>
        <v>0</v>
      </c>
    </row>
    <row r="82" spans="1:8" x14ac:dyDescent="0.25">
      <c r="A82" s="268">
        <v>71</v>
      </c>
      <c r="B82" t="s">
        <v>724</v>
      </c>
      <c r="C82">
        <v>2</v>
      </c>
      <c r="D82" t="s">
        <v>178</v>
      </c>
      <c r="E82" s="282"/>
      <c r="F82" s="84">
        <f t="shared" si="10"/>
        <v>0</v>
      </c>
      <c r="G82" s="282"/>
      <c r="H82" s="281">
        <f t="shared" si="9"/>
        <v>0</v>
      </c>
    </row>
    <row r="83" spans="1:8" x14ac:dyDescent="0.25">
      <c r="A83" s="268">
        <v>72</v>
      </c>
      <c r="B83" t="s">
        <v>744</v>
      </c>
      <c r="C83">
        <v>4</v>
      </c>
      <c r="D83" t="s">
        <v>178</v>
      </c>
      <c r="E83" s="282"/>
      <c r="F83" s="84">
        <f t="shared" si="10"/>
        <v>0</v>
      </c>
      <c r="G83" s="282"/>
      <c r="H83" s="281">
        <f t="shared" si="9"/>
        <v>0</v>
      </c>
    </row>
    <row r="84" spans="1:8" x14ac:dyDescent="0.25">
      <c r="A84" s="268">
        <v>73</v>
      </c>
      <c r="B84" t="s">
        <v>727</v>
      </c>
      <c r="C84">
        <v>1</v>
      </c>
      <c r="D84" t="s">
        <v>726</v>
      </c>
      <c r="E84" s="282"/>
      <c r="F84" s="84">
        <f t="shared" si="10"/>
        <v>0</v>
      </c>
      <c r="G84" s="84"/>
      <c r="H84" s="281">
        <f t="shared" si="9"/>
        <v>0</v>
      </c>
    </row>
    <row r="85" spans="1:8" x14ac:dyDescent="0.25">
      <c r="A85" s="590">
        <v>74</v>
      </c>
      <c r="B85" s="591" t="s">
        <v>730</v>
      </c>
      <c r="C85" s="591">
        <v>0</v>
      </c>
      <c r="D85" s="591" t="s">
        <v>726</v>
      </c>
      <c r="E85" s="592"/>
      <c r="F85" s="592">
        <f t="shared" si="10"/>
        <v>0</v>
      </c>
      <c r="G85" s="593"/>
      <c r="H85" s="594">
        <f t="shared" si="9"/>
        <v>0</v>
      </c>
    </row>
    <row r="86" spans="1:8" x14ac:dyDescent="0.25">
      <c r="A86" s="268">
        <v>75</v>
      </c>
      <c r="B86" t="s">
        <v>731</v>
      </c>
      <c r="C86">
        <v>1</v>
      </c>
      <c r="D86" t="s">
        <v>726</v>
      </c>
      <c r="E86" s="282"/>
      <c r="F86" s="84">
        <f t="shared" si="10"/>
        <v>0</v>
      </c>
      <c r="G86" s="282"/>
      <c r="H86" s="281">
        <f t="shared" si="9"/>
        <v>0</v>
      </c>
    </row>
    <row r="87" spans="1:8" x14ac:dyDescent="0.25">
      <c r="A87" s="268"/>
      <c r="E87" s="272"/>
      <c r="F87" s="237">
        <f>SUM(F69:F86)</f>
        <v>0</v>
      </c>
      <c r="G87" s="237"/>
      <c r="H87" s="237">
        <f t="shared" ref="H87" si="11">SUM(H69:H86)</f>
        <v>0</v>
      </c>
    </row>
    <row r="88" spans="1:8" x14ac:dyDescent="0.25">
      <c r="A88" s="268"/>
      <c r="E88" s="272"/>
      <c r="G88" s="84"/>
      <c r="H88" s="281"/>
    </row>
    <row r="89" spans="1:8" ht="15.6" x14ac:dyDescent="0.3">
      <c r="A89" s="268"/>
      <c r="B89" s="117" t="s">
        <v>745</v>
      </c>
      <c r="E89" s="272"/>
      <c r="G89" s="84"/>
      <c r="H89" s="281"/>
    </row>
    <row r="90" spans="1:8" x14ac:dyDescent="0.25">
      <c r="A90" s="268">
        <v>76</v>
      </c>
      <c r="B90" s="265" t="s">
        <v>1249</v>
      </c>
      <c r="C90">
        <v>6</v>
      </c>
      <c r="D90" t="s">
        <v>619</v>
      </c>
      <c r="E90" s="283"/>
      <c r="F90" s="84">
        <f>C90*E90</f>
        <v>0</v>
      </c>
      <c r="G90" s="282"/>
      <c r="H90" s="281">
        <f>C90*G90</f>
        <v>0</v>
      </c>
    </row>
    <row r="91" spans="1:8" x14ac:dyDescent="0.25">
      <c r="A91" s="268">
        <v>77</v>
      </c>
      <c r="B91" s="265" t="s">
        <v>1250</v>
      </c>
      <c r="C91">
        <v>6</v>
      </c>
      <c r="D91" t="s">
        <v>619</v>
      </c>
      <c r="E91" s="283"/>
      <c r="F91" s="84">
        <f>C91*E91</f>
        <v>0</v>
      </c>
      <c r="G91" s="282"/>
      <c r="H91" s="281">
        <f>C91*G91</f>
        <v>0</v>
      </c>
    </row>
    <row r="92" spans="1:8" x14ac:dyDescent="0.25">
      <c r="A92" s="268">
        <v>78</v>
      </c>
      <c r="B92" t="s">
        <v>746</v>
      </c>
      <c r="C92">
        <v>211</v>
      </c>
      <c r="D92" t="s">
        <v>178</v>
      </c>
      <c r="E92" s="283"/>
      <c r="F92" s="84">
        <f t="shared" ref="F92:F103" si="12">C92*E92</f>
        <v>0</v>
      </c>
      <c r="G92" s="282"/>
      <c r="H92" s="281">
        <f t="shared" ref="H92:H103" si="13">C92*G92</f>
        <v>0</v>
      </c>
    </row>
    <row r="93" spans="1:8" x14ac:dyDescent="0.25">
      <c r="A93" s="268">
        <v>79</v>
      </c>
      <c r="B93" t="s">
        <v>747</v>
      </c>
      <c r="C93">
        <v>12</v>
      </c>
      <c r="D93" t="s">
        <v>178</v>
      </c>
      <c r="E93" s="283"/>
      <c r="F93" s="84">
        <f t="shared" si="12"/>
        <v>0</v>
      </c>
      <c r="G93" s="282"/>
      <c r="H93" s="281">
        <f t="shared" si="13"/>
        <v>0</v>
      </c>
    </row>
    <row r="94" spans="1:8" x14ac:dyDescent="0.25">
      <c r="A94" s="268">
        <v>80</v>
      </c>
      <c r="B94" s="265" t="s">
        <v>1246</v>
      </c>
      <c r="C94">
        <v>123</v>
      </c>
      <c r="D94" t="s">
        <v>178</v>
      </c>
      <c r="E94" s="283"/>
      <c r="F94" s="84">
        <f t="shared" si="12"/>
        <v>0</v>
      </c>
      <c r="G94" s="282"/>
      <c r="H94" s="281">
        <f t="shared" si="13"/>
        <v>0</v>
      </c>
    </row>
    <row r="95" spans="1:8" x14ac:dyDescent="0.25">
      <c r="A95" s="268">
        <v>81</v>
      </c>
      <c r="B95" t="s">
        <v>718</v>
      </c>
      <c r="C95">
        <v>12</v>
      </c>
      <c r="D95" t="s">
        <v>178</v>
      </c>
      <c r="E95" s="283"/>
      <c r="F95" s="84">
        <f t="shared" si="12"/>
        <v>0</v>
      </c>
      <c r="G95" s="282"/>
      <c r="H95" s="281">
        <f t="shared" si="13"/>
        <v>0</v>
      </c>
    </row>
    <row r="96" spans="1:8" x14ac:dyDescent="0.25">
      <c r="A96" s="268">
        <v>82</v>
      </c>
      <c r="B96" t="s">
        <v>719</v>
      </c>
      <c r="C96">
        <v>12</v>
      </c>
      <c r="D96" t="s">
        <v>178</v>
      </c>
      <c r="E96" s="283"/>
      <c r="F96" s="84">
        <f t="shared" si="12"/>
        <v>0</v>
      </c>
      <c r="G96" s="282"/>
      <c r="H96" s="281">
        <f t="shared" si="13"/>
        <v>0</v>
      </c>
    </row>
    <row r="97" spans="1:8" x14ac:dyDescent="0.25">
      <c r="A97" s="268">
        <v>83</v>
      </c>
      <c r="B97" t="s">
        <v>722</v>
      </c>
      <c r="C97">
        <v>4</v>
      </c>
      <c r="D97" t="s">
        <v>178</v>
      </c>
      <c r="E97" s="282"/>
      <c r="F97" s="84">
        <f t="shared" si="12"/>
        <v>0</v>
      </c>
      <c r="G97" s="282"/>
      <c r="H97" s="281">
        <f t="shared" si="13"/>
        <v>0</v>
      </c>
    </row>
    <row r="98" spans="1:8" x14ac:dyDescent="0.25">
      <c r="A98" s="268">
        <v>84</v>
      </c>
      <c r="B98" t="s">
        <v>723</v>
      </c>
      <c r="C98">
        <v>24</v>
      </c>
      <c r="D98" t="s">
        <v>178</v>
      </c>
      <c r="E98" s="282"/>
      <c r="F98" s="84">
        <f t="shared" si="12"/>
        <v>0</v>
      </c>
      <c r="G98" s="282"/>
      <c r="H98" s="281">
        <f t="shared" si="13"/>
        <v>0</v>
      </c>
    </row>
    <row r="99" spans="1:8" x14ac:dyDescent="0.25">
      <c r="A99" s="268">
        <v>85</v>
      </c>
      <c r="B99" t="s">
        <v>724</v>
      </c>
      <c r="C99">
        <v>2</v>
      </c>
      <c r="D99" t="s">
        <v>178</v>
      </c>
      <c r="E99" s="282"/>
      <c r="F99" s="84">
        <f t="shared" si="12"/>
        <v>0</v>
      </c>
      <c r="G99" s="282"/>
      <c r="H99" s="281">
        <f t="shared" si="13"/>
        <v>0</v>
      </c>
    </row>
    <row r="100" spans="1:8" x14ac:dyDescent="0.25">
      <c r="A100" s="268">
        <v>86</v>
      </c>
      <c r="B100" t="s">
        <v>744</v>
      </c>
      <c r="C100">
        <v>4</v>
      </c>
      <c r="D100" t="s">
        <v>178</v>
      </c>
      <c r="E100" s="282"/>
      <c r="F100" s="84">
        <f t="shared" si="12"/>
        <v>0</v>
      </c>
      <c r="G100" s="282"/>
      <c r="H100" s="281">
        <f t="shared" si="13"/>
        <v>0</v>
      </c>
    </row>
    <row r="101" spans="1:8" x14ac:dyDescent="0.25">
      <c r="A101" s="268">
        <v>87</v>
      </c>
      <c r="B101" t="s">
        <v>727</v>
      </c>
      <c r="C101">
        <v>1</v>
      </c>
      <c r="D101" t="s">
        <v>726</v>
      </c>
      <c r="E101" s="282"/>
      <c r="F101" s="84">
        <f t="shared" si="12"/>
        <v>0</v>
      </c>
      <c r="G101" s="84"/>
      <c r="H101" s="281">
        <f t="shared" si="13"/>
        <v>0</v>
      </c>
    </row>
    <row r="102" spans="1:8" x14ac:dyDescent="0.25">
      <c r="A102" s="590">
        <v>88</v>
      </c>
      <c r="B102" s="591" t="s">
        <v>730</v>
      </c>
      <c r="C102" s="591">
        <v>0</v>
      </c>
      <c r="D102" s="591" t="s">
        <v>726</v>
      </c>
      <c r="E102" s="592"/>
      <c r="F102" s="592">
        <f t="shared" si="12"/>
        <v>0</v>
      </c>
      <c r="G102" s="593"/>
      <c r="H102" s="594">
        <f t="shared" si="13"/>
        <v>0</v>
      </c>
    </row>
    <row r="103" spans="1:8" x14ac:dyDescent="0.25">
      <c r="A103" s="268">
        <v>89</v>
      </c>
      <c r="B103" t="s">
        <v>731</v>
      </c>
      <c r="C103">
        <v>1</v>
      </c>
      <c r="D103" t="s">
        <v>726</v>
      </c>
      <c r="E103" s="282"/>
      <c r="F103" s="84">
        <f t="shared" si="12"/>
        <v>0</v>
      </c>
      <c r="G103" s="282"/>
      <c r="H103" s="281">
        <f t="shared" si="13"/>
        <v>0</v>
      </c>
    </row>
    <row r="104" spans="1:8" x14ac:dyDescent="0.25">
      <c r="A104" s="268"/>
      <c r="F104" s="237">
        <f>SUM(F90:F103)</f>
        <v>0</v>
      </c>
      <c r="G104" s="237"/>
      <c r="H104" s="237">
        <f t="shared" ref="H104" si="14">SUM(H90:H103)</f>
        <v>0</v>
      </c>
    </row>
    <row r="105" spans="1:8" x14ac:dyDescent="0.25">
      <c r="A105" s="268"/>
      <c r="G105" s="84"/>
      <c r="H105" s="281"/>
    </row>
    <row r="106" spans="1:8" ht="13.8" thickBot="1" x14ac:dyDescent="0.3">
      <c r="A106" s="269">
        <v>90</v>
      </c>
      <c r="B106" s="238" t="s">
        <v>748</v>
      </c>
      <c r="C106" s="238">
        <v>140</v>
      </c>
      <c r="D106" s="238" t="s">
        <v>178</v>
      </c>
      <c r="E106" s="273"/>
      <c r="F106" s="274">
        <f>E106*C106</f>
        <v>0</v>
      </c>
      <c r="G106" s="284"/>
      <c r="H106" s="595">
        <f>C106*G106</f>
        <v>0</v>
      </c>
    </row>
    <row r="107" spans="1:8" x14ac:dyDescent="0.25">
      <c r="F107" s="237"/>
    </row>
    <row r="118" spans="2:3" x14ac:dyDescent="0.25">
      <c r="B118" s="187"/>
    </row>
    <row r="119" spans="2:3" ht="15.6" x14ac:dyDescent="0.3">
      <c r="B119" s="117"/>
      <c r="C119" s="196"/>
    </row>
    <row r="142" spans="2:2" ht="15.6" x14ac:dyDescent="0.3">
      <c r="B142" s="117"/>
    </row>
    <row r="143" spans="2:2" x14ac:dyDescent="0.25">
      <c r="B143" s="52"/>
    </row>
    <row r="144" spans="2:2" x14ac:dyDescent="0.25">
      <c r="B144" s="52"/>
    </row>
    <row r="145" spans="2:2" x14ac:dyDescent="0.25">
      <c r="B145" s="52"/>
    </row>
    <row r="147" spans="2:2" x14ac:dyDescent="0.25">
      <c r="B147" s="52"/>
    </row>
    <row r="148" spans="2:2" x14ac:dyDescent="0.25">
      <c r="B148" s="52"/>
    </row>
    <row r="151" spans="2:2" ht="15.6" x14ac:dyDescent="0.3">
      <c r="B151" s="117"/>
    </row>
    <row r="161" spans="2:2" ht="15.6" x14ac:dyDescent="0.3">
      <c r="B161" s="117"/>
    </row>
  </sheetData>
  <sheetProtection algorithmName="SHA-512" hashValue="83JDjknQUReBGpUgXDsX3sMIrGrju/pfWAafhzWaG2y2bcNoBHBSx817Uc7SK3DkSgnavNoLSLyuRB9BKBe0Vw==" saltValue="wpC6M0MPEBZzTb1+1Czb0g==" spinCount="100000" sheet="1" objects="1" scenarios="1"/>
  <pageMargins left="0.7" right="0.7" top="0.78740157499999996" bottom="0.78740157499999996" header="0.3" footer="0.3"/>
  <pageSetup paperSize="9" scale="85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BH5000"/>
  <sheetViews>
    <sheetView zoomScaleNormal="100" workbookViewId="0">
      <pane ySplit="7" topLeftCell="A29" activePane="bottomLeft" state="frozen"/>
      <selection pane="bottomLeft" activeCell="F17" sqref="F17:F47"/>
    </sheetView>
  </sheetViews>
  <sheetFormatPr defaultRowHeight="13.2" outlineLevelRow="2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576" t="s">
        <v>7</v>
      </c>
      <c r="B1" s="576"/>
      <c r="C1" s="576"/>
      <c r="D1" s="576"/>
      <c r="E1" s="576"/>
      <c r="F1" s="576"/>
      <c r="G1" s="576"/>
      <c r="AG1" t="s">
        <v>110</v>
      </c>
    </row>
    <row r="2" spans="1:60" ht="25.2" customHeight="1" x14ac:dyDescent="0.25">
      <c r="A2" s="137" t="s">
        <v>8</v>
      </c>
      <c r="B2" s="49" t="s">
        <v>41</v>
      </c>
      <c r="C2" s="577" t="s">
        <v>42</v>
      </c>
      <c r="D2" s="578"/>
      <c r="E2" s="578"/>
      <c r="F2" s="578"/>
      <c r="G2" s="579"/>
      <c r="AG2" t="s">
        <v>111</v>
      </c>
    </row>
    <row r="3" spans="1:60" ht="25.2" customHeight="1" x14ac:dyDescent="0.25">
      <c r="A3" s="137" t="s">
        <v>9</v>
      </c>
      <c r="B3" s="49" t="s">
        <v>41</v>
      </c>
      <c r="C3" s="577" t="s">
        <v>44</v>
      </c>
      <c r="D3" s="578"/>
      <c r="E3" s="578"/>
      <c r="F3" s="578"/>
      <c r="G3" s="579"/>
      <c r="AC3" s="118" t="s">
        <v>111</v>
      </c>
      <c r="AG3" t="s">
        <v>112</v>
      </c>
    </row>
    <row r="4" spans="1:60" ht="25.2" customHeight="1" x14ac:dyDescent="0.25">
      <c r="A4" s="138" t="s">
        <v>10</v>
      </c>
      <c r="B4" s="139" t="s">
        <v>47</v>
      </c>
      <c r="C4" s="580" t="s">
        <v>48</v>
      </c>
      <c r="D4" s="581"/>
      <c r="E4" s="581"/>
      <c r="F4" s="581"/>
      <c r="G4" s="582"/>
      <c r="AG4" t="s">
        <v>113</v>
      </c>
    </row>
    <row r="5" spans="1:60" x14ac:dyDescent="0.25">
      <c r="D5" s="10"/>
    </row>
    <row r="6" spans="1:60" ht="39.6" x14ac:dyDescent="0.25">
      <c r="A6" s="141" t="s">
        <v>114</v>
      </c>
      <c r="B6" s="143" t="s">
        <v>115</v>
      </c>
      <c r="C6" s="143" t="s">
        <v>116</v>
      </c>
      <c r="D6" s="142" t="s">
        <v>117</v>
      </c>
      <c r="E6" s="141" t="s">
        <v>118</v>
      </c>
      <c r="F6" s="140" t="s">
        <v>119</v>
      </c>
      <c r="G6" s="141" t="s">
        <v>31</v>
      </c>
      <c r="H6" s="144" t="s">
        <v>32</v>
      </c>
      <c r="I6" s="144" t="s">
        <v>120</v>
      </c>
      <c r="J6" s="144" t="s">
        <v>33</v>
      </c>
      <c r="K6" s="144" t="s">
        <v>121</v>
      </c>
      <c r="L6" s="144" t="s">
        <v>122</v>
      </c>
      <c r="M6" s="144" t="s">
        <v>123</v>
      </c>
      <c r="N6" s="144" t="s">
        <v>124</v>
      </c>
      <c r="O6" s="144" t="s">
        <v>125</v>
      </c>
      <c r="P6" s="144" t="s">
        <v>126</v>
      </c>
      <c r="Q6" s="144" t="s">
        <v>127</v>
      </c>
      <c r="R6" s="144" t="s">
        <v>128</v>
      </c>
      <c r="S6" s="144" t="s">
        <v>129</v>
      </c>
      <c r="T6" s="144" t="s">
        <v>130</v>
      </c>
      <c r="U6" s="144" t="s">
        <v>131</v>
      </c>
      <c r="V6" s="144" t="s">
        <v>132</v>
      </c>
      <c r="W6" s="144" t="s">
        <v>133</v>
      </c>
      <c r="X6" s="144" t="s">
        <v>134</v>
      </c>
      <c r="Y6" s="144" t="s">
        <v>135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59" t="s">
        <v>136</v>
      </c>
      <c r="B8" s="160" t="s">
        <v>106</v>
      </c>
      <c r="C8" s="178" t="s">
        <v>107</v>
      </c>
      <c r="D8" s="161"/>
      <c r="E8" s="162"/>
      <c r="F8" s="163"/>
      <c r="G8" s="164">
        <f>SUMIF(AG9:AG47,"&lt;&gt;NOR",G9:G47)</f>
        <v>0</v>
      </c>
      <c r="H8" s="158"/>
      <c r="I8" s="158">
        <f>SUM(I9:I47)</f>
        <v>32367.16</v>
      </c>
      <c r="J8" s="158"/>
      <c r="K8" s="158">
        <f>SUM(K9:K47)</f>
        <v>198393.8</v>
      </c>
      <c r="L8" s="158"/>
      <c r="M8" s="158">
        <f>SUM(M9:M47)</f>
        <v>0</v>
      </c>
      <c r="N8" s="157"/>
      <c r="O8" s="157">
        <f>SUM(O9:O47)</f>
        <v>0.03</v>
      </c>
      <c r="P8" s="157"/>
      <c r="Q8" s="157">
        <f>SUM(Q9:Q47)</f>
        <v>0</v>
      </c>
      <c r="R8" s="158"/>
      <c r="S8" s="158"/>
      <c r="T8" s="158"/>
      <c r="U8" s="158"/>
      <c r="V8" s="158">
        <f>SUM(V9:V47)</f>
        <v>5.9399999999999995</v>
      </c>
      <c r="W8" s="158"/>
      <c r="X8" s="158"/>
      <c r="Y8" s="158"/>
      <c r="AG8" t="s">
        <v>137</v>
      </c>
    </row>
    <row r="9" spans="1:60" ht="30.6" outlineLevel="1" x14ac:dyDescent="0.25">
      <c r="A9" s="172">
        <v>1</v>
      </c>
      <c r="B9" s="173" t="s">
        <v>156</v>
      </c>
      <c r="C9" s="179" t="s">
        <v>157</v>
      </c>
      <c r="D9" s="174" t="s">
        <v>158</v>
      </c>
      <c r="E9" s="175">
        <v>1</v>
      </c>
      <c r="F9" s="176"/>
      <c r="G9" s="177">
        <f>ROUND(E9*F9,2)</f>
        <v>0</v>
      </c>
      <c r="H9" s="156">
        <v>0</v>
      </c>
      <c r="I9" s="155">
        <f>ROUND(E9*H9,2)</f>
        <v>0</v>
      </c>
      <c r="J9" s="156">
        <v>48108</v>
      </c>
      <c r="K9" s="155">
        <f>ROUND(E9*J9,2)</f>
        <v>48108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141</v>
      </c>
      <c r="T9" s="155" t="s">
        <v>142</v>
      </c>
      <c r="U9" s="155">
        <v>0</v>
      </c>
      <c r="V9" s="155">
        <f>ROUND(E9*U9,2)</f>
        <v>0</v>
      </c>
      <c r="W9" s="155"/>
      <c r="X9" s="155" t="s">
        <v>143</v>
      </c>
      <c r="Y9" s="155" t="s">
        <v>144</v>
      </c>
      <c r="Z9" s="145"/>
      <c r="AA9" s="145"/>
      <c r="AB9" s="145"/>
      <c r="AC9" s="145"/>
      <c r="AD9" s="145"/>
      <c r="AE9" s="145"/>
      <c r="AF9" s="145"/>
      <c r="AG9" s="145" t="s">
        <v>145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0.399999999999999" outlineLevel="1" x14ac:dyDescent="0.25">
      <c r="A10" s="172">
        <v>2</v>
      </c>
      <c r="B10" s="173" t="s">
        <v>159</v>
      </c>
      <c r="C10" s="179" t="s">
        <v>160</v>
      </c>
      <c r="D10" s="174" t="s">
        <v>158</v>
      </c>
      <c r="E10" s="175">
        <v>1</v>
      </c>
      <c r="F10" s="176"/>
      <c r="G10" s="177">
        <f>ROUND(E10*F10,2)</f>
        <v>0</v>
      </c>
      <c r="H10" s="156">
        <v>0</v>
      </c>
      <c r="I10" s="155">
        <f>ROUND(E10*H10,2)</f>
        <v>0</v>
      </c>
      <c r="J10" s="156">
        <v>17225</v>
      </c>
      <c r="K10" s="155">
        <f>ROUND(E10*J10,2)</f>
        <v>17225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141</v>
      </c>
      <c r="T10" s="155" t="s">
        <v>142</v>
      </c>
      <c r="U10" s="155">
        <v>0</v>
      </c>
      <c r="V10" s="155">
        <f>ROUND(E10*U10,2)</f>
        <v>0</v>
      </c>
      <c r="W10" s="155"/>
      <c r="X10" s="155" t="s">
        <v>143</v>
      </c>
      <c r="Y10" s="155" t="s">
        <v>144</v>
      </c>
      <c r="Z10" s="145"/>
      <c r="AA10" s="145"/>
      <c r="AB10" s="145"/>
      <c r="AC10" s="145"/>
      <c r="AD10" s="145"/>
      <c r="AE10" s="145"/>
      <c r="AF10" s="145"/>
      <c r="AG10" s="145" t="s">
        <v>145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ht="30.6" outlineLevel="1" x14ac:dyDescent="0.25">
      <c r="A11" s="172">
        <v>3</v>
      </c>
      <c r="B11" s="173" t="s">
        <v>161</v>
      </c>
      <c r="C11" s="179" t="s">
        <v>162</v>
      </c>
      <c r="D11" s="174" t="s">
        <v>158</v>
      </c>
      <c r="E11" s="175">
        <v>1</v>
      </c>
      <c r="F11" s="176"/>
      <c r="G11" s="177">
        <f>ROUND(E11*F11,2)</f>
        <v>0</v>
      </c>
      <c r="H11" s="156">
        <v>0</v>
      </c>
      <c r="I11" s="155">
        <f>ROUND(E11*H11,2)</f>
        <v>0</v>
      </c>
      <c r="J11" s="156">
        <v>27306</v>
      </c>
      <c r="K11" s="155">
        <f>ROUND(E11*J11,2)</f>
        <v>27306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141</v>
      </c>
      <c r="T11" s="155" t="s">
        <v>142</v>
      </c>
      <c r="U11" s="155">
        <v>0</v>
      </c>
      <c r="V11" s="155">
        <f>ROUND(E11*U11,2)</f>
        <v>0</v>
      </c>
      <c r="W11" s="155"/>
      <c r="X11" s="155" t="s">
        <v>143</v>
      </c>
      <c r="Y11" s="155" t="s">
        <v>144</v>
      </c>
      <c r="Z11" s="145"/>
      <c r="AA11" s="145"/>
      <c r="AB11" s="145"/>
      <c r="AC11" s="145"/>
      <c r="AD11" s="145"/>
      <c r="AE11" s="145"/>
      <c r="AF11" s="145"/>
      <c r="AG11" s="145" t="s">
        <v>145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ht="20.399999999999999" outlineLevel="1" x14ac:dyDescent="0.25">
      <c r="A12" s="166">
        <v>4</v>
      </c>
      <c r="B12" s="167" t="s">
        <v>163</v>
      </c>
      <c r="C12" s="180" t="s">
        <v>164</v>
      </c>
      <c r="D12" s="168" t="s">
        <v>165</v>
      </c>
      <c r="E12" s="169">
        <v>0.72</v>
      </c>
      <c r="F12" s="170"/>
      <c r="G12" s="171">
        <f>ROUND(E12*F12,2)</f>
        <v>0</v>
      </c>
      <c r="H12" s="156">
        <v>32.020000000000003</v>
      </c>
      <c r="I12" s="155">
        <f>ROUND(E12*H12,2)</f>
        <v>23.05</v>
      </c>
      <c r="J12" s="156">
        <v>1160.98</v>
      </c>
      <c r="K12" s="155">
        <f>ROUND(E12*J12,2)</f>
        <v>835.91</v>
      </c>
      <c r="L12" s="155">
        <v>21</v>
      </c>
      <c r="M12" s="155">
        <f>G12*(1+L12/100)</f>
        <v>0</v>
      </c>
      <c r="N12" s="154">
        <v>8.0000000000000007E-5</v>
      </c>
      <c r="O12" s="154">
        <f>ROUND(E12*N12,2)</f>
        <v>0</v>
      </c>
      <c r="P12" s="154">
        <v>0</v>
      </c>
      <c r="Q12" s="154">
        <f>ROUND(E12*P12,2)</f>
        <v>0</v>
      </c>
      <c r="R12" s="155"/>
      <c r="S12" s="155" t="s">
        <v>166</v>
      </c>
      <c r="T12" s="155" t="s">
        <v>166</v>
      </c>
      <c r="U12" s="155">
        <v>2.1</v>
      </c>
      <c r="V12" s="155">
        <f>ROUND(E12*U12,2)</f>
        <v>1.51</v>
      </c>
      <c r="W12" s="155"/>
      <c r="X12" s="155" t="s">
        <v>143</v>
      </c>
      <c r="Y12" s="155" t="s">
        <v>144</v>
      </c>
      <c r="Z12" s="145"/>
      <c r="AA12" s="145"/>
      <c r="AB12" s="145"/>
      <c r="AC12" s="145"/>
      <c r="AD12" s="145"/>
      <c r="AE12" s="145"/>
      <c r="AF12" s="145"/>
      <c r="AG12" s="145" t="s">
        <v>145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2" x14ac:dyDescent="0.25">
      <c r="A13" s="152"/>
      <c r="B13" s="153"/>
      <c r="C13" s="574" t="s">
        <v>167</v>
      </c>
      <c r="D13" s="575"/>
      <c r="E13" s="575"/>
      <c r="F13" s="575"/>
      <c r="G13" s="575"/>
      <c r="H13" s="155"/>
      <c r="I13" s="155"/>
      <c r="J13" s="155"/>
      <c r="K13" s="155"/>
      <c r="L13" s="155"/>
      <c r="M13" s="155"/>
      <c r="N13" s="154"/>
      <c r="O13" s="154"/>
      <c r="P13" s="154"/>
      <c r="Q13" s="154"/>
      <c r="R13" s="155"/>
      <c r="S13" s="155"/>
      <c r="T13" s="155"/>
      <c r="U13" s="155"/>
      <c r="V13" s="155"/>
      <c r="W13" s="155"/>
      <c r="X13" s="155"/>
      <c r="Y13" s="155"/>
      <c r="Z13" s="145"/>
      <c r="AA13" s="145"/>
      <c r="AB13" s="145"/>
      <c r="AC13" s="145"/>
      <c r="AD13" s="145"/>
      <c r="AE13" s="145"/>
      <c r="AF13" s="145"/>
      <c r="AG13" s="145" t="s">
        <v>168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2" x14ac:dyDescent="0.25">
      <c r="A14" s="152"/>
      <c r="B14" s="153"/>
      <c r="C14" s="186" t="s">
        <v>169</v>
      </c>
      <c r="D14" s="184"/>
      <c r="E14" s="185">
        <v>0.72</v>
      </c>
      <c r="F14" s="155"/>
      <c r="G14" s="155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5"/>
      <c r="AA14" s="145"/>
      <c r="AB14" s="145"/>
      <c r="AC14" s="145"/>
      <c r="AD14" s="145"/>
      <c r="AE14" s="145"/>
      <c r="AF14" s="145"/>
      <c r="AG14" s="145" t="s">
        <v>170</v>
      </c>
      <c r="AH14" s="145">
        <v>0</v>
      </c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5">
      <c r="A15" s="166">
        <v>5</v>
      </c>
      <c r="B15" s="167" t="s">
        <v>171</v>
      </c>
      <c r="C15" s="180" t="s">
        <v>172</v>
      </c>
      <c r="D15" s="168" t="s">
        <v>165</v>
      </c>
      <c r="E15" s="169">
        <v>0.72</v>
      </c>
      <c r="F15" s="170"/>
      <c r="G15" s="171">
        <f>ROUND(E15*F15,2)</f>
        <v>0</v>
      </c>
      <c r="H15" s="156">
        <v>672</v>
      </c>
      <c r="I15" s="155">
        <f>ROUND(E15*H15,2)</f>
        <v>483.84</v>
      </c>
      <c r="J15" s="156">
        <v>0</v>
      </c>
      <c r="K15" s="155">
        <f>ROUND(E15*J15,2)</f>
        <v>0</v>
      </c>
      <c r="L15" s="155">
        <v>21</v>
      </c>
      <c r="M15" s="155">
        <f>G15*(1+L15/100)</f>
        <v>0</v>
      </c>
      <c r="N15" s="154">
        <v>1.4E-2</v>
      </c>
      <c r="O15" s="154">
        <f>ROUND(E15*N15,2)</f>
        <v>0.01</v>
      </c>
      <c r="P15" s="154">
        <v>0</v>
      </c>
      <c r="Q15" s="154">
        <f>ROUND(E15*P15,2)</f>
        <v>0</v>
      </c>
      <c r="R15" s="155" t="s">
        <v>173</v>
      </c>
      <c r="S15" s="155" t="s">
        <v>166</v>
      </c>
      <c r="T15" s="155" t="s">
        <v>166</v>
      </c>
      <c r="U15" s="155">
        <v>0</v>
      </c>
      <c r="V15" s="155">
        <f>ROUND(E15*U15,2)</f>
        <v>0</v>
      </c>
      <c r="W15" s="155"/>
      <c r="X15" s="155" t="s">
        <v>174</v>
      </c>
      <c r="Y15" s="155" t="s">
        <v>144</v>
      </c>
      <c r="Z15" s="145"/>
      <c r="AA15" s="145"/>
      <c r="AB15" s="145"/>
      <c r="AC15" s="145"/>
      <c r="AD15" s="145"/>
      <c r="AE15" s="145"/>
      <c r="AF15" s="145"/>
      <c r="AG15" s="145" t="s">
        <v>175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2" x14ac:dyDescent="0.25">
      <c r="A16" s="152"/>
      <c r="B16" s="153"/>
      <c r="C16" s="186" t="s">
        <v>169</v>
      </c>
      <c r="D16" s="184"/>
      <c r="E16" s="185">
        <v>0.72</v>
      </c>
      <c r="F16" s="155"/>
      <c r="G16" s="155"/>
      <c r="H16" s="155"/>
      <c r="I16" s="155"/>
      <c r="J16" s="155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5"/>
      <c r="AA16" s="145"/>
      <c r="AB16" s="145"/>
      <c r="AC16" s="145"/>
      <c r="AD16" s="145"/>
      <c r="AE16" s="145"/>
      <c r="AF16" s="145"/>
      <c r="AG16" s="145" t="s">
        <v>170</v>
      </c>
      <c r="AH16" s="145">
        <v>0</v>
      </c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ht="20.399999999999999" outlineLevel="1" x14ac:dyDescent="0.25">
      <c r="A17" s="172">
        <v>6</v>
      </c>
      <c r="B17" s="173" t="s">
        <v>176</v>
      </c>
      <c r="C17" s="179" t="s">
        <v>177</v>
      </c>
      <c r="D17" s="174" t="s">
        <v>178</v>
      </c>
      <c r="E17" s="175">
        <v>24</v>
      </c>
      <c r="F17" s="176"/>
      <c r="G17" s="177">
        <f t="shared" ref="G17:G47" si="0">ROUND(E17*F17,2)</f>
        <v>0</v>
      </c>
      <c r="H17" s="156">
        <v>586.67999999999995</v>
      </c>
      <c r="I17" s="155">
        <f t="shared" ref="I17:I47" si="1">ROUND(E17*H17,2)</f>
        <v>14080.32</v>
      </c>
      <c r="J17" s="156">
        <v>65.319999999999993</v>
      </c>
      <c r="K17" s="155">
        <f t="shared" ref="K17:K47" si="2">ROUND(E17*J17,2)</f>
        <v>1567.68</v>
      </c>
      <c r="L17" s="155">
        <v>21</v>
      </c>
      <c r="M17" s="155">
        <f t="shared" ref="M17:M47" si="3">G17*(1+L17/100)</f>
        <v>0</v>
      </c>
      <c r="N17" s="154">
        <v>6.6E-4</v>
      </c>
      <c r="O17" s="154">
        <f t="shared" ref="O17:O47" si="4">ROUND(E17*N17,2)</f>
        <v>0.02</v>
      </c>
      <c r="P17" s="154">
        <v>0</v>
      </c>
      <c r="Q17" s="154">
        <f t="shared" ref="Q17:Q47" si="5">ROUND(E17*P17,2)</f>
        <v>0</v>
      </c>
      <c r="R17" s="155"/>
      <c r="S17" s="155" t="s">
        <v>166</v>
      </c>
      <c r="T17" s="155" t="s">
        <v>166</v>
      </c>
      <c r="U17" s="155">
        <v>0.12</v>
      </c>
      <c r="V17" s="155">
        <f t="shared" ref="V17:V47" si="6">ROUND(E17*U17,2)</f>
        <v>2.88</v>
      </c>
      <c r="W17" s="155"/>
      <c r="X17" s="155" t="s">
        <v>143</v>
      </c>
      <c r="Y17" s="155" t="s">
        <v>144</v>
      </c>
      <c r="Z17" s="145"/>
      <c r="AA17" s="145"/>
      <c r="AB17" s="145"/>
      <c r="AC17" s="145"/>
      <c r="AD17" s="145"/>
      <c r="AE17" s="145"/>
      <c r="AF17" s="145"/>
      <c r="AG17" s="145" t="s">
        <v>145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ht="20.399999999999999" outlineLevel="1" x14ac:dyDescent="0.25">
      <c r="A18" s="172">
        <v>7</v>
      </c>
      <c r="B18" s="173" t="s">
        <v>179</v>
      </c>
      <c r="C18" s="179" t="s">
        <v>180</v>
      </c>
      <c r="D18" s="174" t="s">
        <v>178</v>
      </c>
      <c r="E18" s="175">
        <v>12.9</v>
      </c>
      <c r="F18" s="176"/>
      <c r="G18" s="177">
        <f t="shared" si="0"/>
        <v>0</v>
      </c>
      <c r="H18" s="156">
        <v>36.119999999999997</v>
      </c>
      <c r="I18" s="155">
        <f t="shared" si="1"/>
        <v>465.95</v>
      </c>
      <c r="J18" s="156">
        <v>65.209999999999994</v>
      </c>
      <c r="K18" s="155">
        <f t="shared" si="2"/>
        <v>841.21</v>
      </c>
      <c r="L18" s="155">
        <v>21</v>
      </c>
      <c r="M18" s="155">
        <f t="shared" si="3"/>
        <v>0</v>
      </c>
      <c r="N18" s="154">
        <v>1E-4</v>
      </c>
      <c r="O18" s="154">
        <f t="shared" si="4"/>
        <v>0</v>
      </c>
      <c r="P18" s="154">
        <v>0</v>
      </c>
      <c r="Q18" s="154">
        <f t="shared" si="5"/>
        <v>0</v>
      </c>
      <c r="R18" s="155"/>
      <c r="S18" s="155" t="s">
        <v>141</v>
      </c>
      <c r="T18" s="155" t="s">
        <v>142</v>
      </c>
      <c r="U18" s="155">
        <v>0.12</v>
      </c>
      <c r="V18" s="155">
        <f t="shared" si="6"/>
        <v>1.55</v>
      </c>
      <c r="W18" s="155"/>
      <c r="X18" s="155" t="s">
        <v>143</v>
      </c>
      <c r="Y18" s="155" t="s">
        <v>144</v>
      </c>
      <c r="Z18" s="145"/>
      <c r="AA18" s="145"/>
      <c r="AB18" s="145"/>
      <c r="AC18" s="145"/>
      <c r="AD18" s="145"/>
      <c r="AE18" s="145"/>
      <c r="AF18" s="145"/>
      <c r="AG18" s="145" t="s">
        <v>145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ht="20.399999999999999" outlineLevel="1" x14ac:dyDescent="0.25">
      <c r="A19" s="172">
        <v>8</v>
      </c>
      <c r="B19" s="173" t="s">
        <v>181</v>
      </c>
      <c r="C19" s="179" t="s">
        <v>182</v>
      </c>
      <c r="D19" s="174" t="s">
        <v>158</v>
      </c>
      <c r="E19" s="175">
        <v>3</v>
      </c>
      <c r="F19" s="176"/>
      <c r="G19" s="177">
        <f t="shared" si="0"/>
        <v>0</v>
      </c>
      <c r="H19" s="156">
        <v>1826</v>
      </c>
      <c r="I19" s="155">
        <f t="shared" si="1"/>
        <v>5478</v>
      </c>
      <c r="J19" s="156">
        <v>200</v>
      </c>
      <c r="K19" s="155">
        <f t="shared" si="2"/>
        <v>600</v>
      </c>
      <c r="L19" s="155">
        <v>21</v>
      </c>
      <c r="M19" s="155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5"/>
      <c r="S19" s="155" t="s">
        <v>141</v>
      </c>
      <c r="T19" s="155" t="s">
        <v>142</v>
      </c>
      <c r="U19" s="155">
        <v>0</v>
      </c>
      <c r="V19" s="155">
        <f t="shared" si="6"/>
        <v>0</v>
      </c>
      <c r="W19" s="155"/>
      <c r="X19" s="155" t="s">
        <v>143</v>
      </c>
      <c r="Y19" s="155" t="s">
        <v>144</v>
      </c>
      <c r="Z19" s="145"/>
      <c r="AA19" s="145"/>
      <c r="AB19" s="145"/>
      <c r="AC19" s="145"/>
      <c r="AD19" s="145"/>
      <c r="AE19" s="145"/>
      <c r="AF19" s="145"/>
      <c r="AG19" s="145" t="s">
        <v>145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ht="20.399999999999999" outlineLevel="1" x14ac:dyDescent="0.25">
      <c r="A20" s="172">
        <v>9</v>
      </c>
      <c r="B20" s="173" t="s">
        <v>183</v>
      </c>
      <c r="C20" s="179" t="s">
        <v>184</v>
      </c>
      <c r="D20" s="174" t="s">
        <v>158</v>
      </c>
      <c r="E20" s="175">
        <v>4</v>
      </c>
      <c r="F20" s="176"/>
      <c r="G20" s="177">
        <f t="shared" si="0"/>
        <v>0</v>
      </c>
      <c r="H20" s="156">
        <v>1387</v>
      </c>
      <c r="I20" s="155">
        <f t="shared" si="1"/>
        <v>5548</v>
      </c>
      <c r="J20" s="156">
        <v>416</v>
      </c>
      <c r="K20" s="155">
        <f t="shared" si="2"/>
        <v>1664</v>
      </c>
      <c r="L20" s="155">
        <v>21</v>
      </c>
      <c r="M20" s="155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5"/>
      <c r="S20" s="155" t="s">
        <v>141</v>
      </c>
      <c r="T20" s="155" t="s">
        <v>142</v>
      </c>
      <c r="U20" s="155">
        <v>0</v>
      </c>
      <c r="V20" s="155">
        <f t="shared" si="6"/>
        <v>0</v>
      </c>
      <c r="W20" s="155"/>
      <c r="X20" s="155" t="s">
        <v>143</v>
      </c>
      <c r="Y20" s="155" t="s">
        <v>144</v>
      </c>
      <c r="Z20" s="145"/>
      <c r="AA20" s="145"/>
      <c r="AB20" s="145"/>
      <c r="AC20" s="145"/>
      <c r="AD20" s="145"/>
      <c r="AE20" s="145"/>
      <c r="AF20" s="145"/>
      <c r="AG20" s="145" t="s">
        <v>145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5">
      <c r="A21" s="172">
        <v>10</v>
      </c>
      <c r="B21" s="173" t="s">
        <v>185</v>
      </c>
      <c r="C21" s="179" t="s">
        <v>186</v>
      </c>
      <c r="D21" s="174" t="s">
        <v>158</v>
      </c>
      <c r="E21" s="175">
        <v>4</v>
      </c>
      <c r="F21" s="176"/>
      <c r="G21" s="177">
        <f t="shared" si="0"/>
        <v>0</v>
      </c>
      <c r="H21" s="156">
        <v>0</v>
      </c>
      <c r="I21" s="155">
        <f t="shared" si="1"/>
        <v>0</v>
      </c>
      <c r="J21" s="156">
        <v>300</v>
      </c>
      <c r="K21" s="155">
        <f t="shared" si="2"/>
        <v>1200</v>
      </c>
      <c r="L21" s="155">
        <v>21</v>
      </c>
      <c r="M21" s="155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5"/>
      <c r="S21" s="155" t="s">
        <v>141</v>
      </c>
      <c r="T21" s="155" t="s">
        <v>142</v>
      </c>
      <c r="U21" s="155">
        <v>0</v>
      </c>
      <c r="V21" s="155">
        <f t="shared" si="6"/>
        <v>0</v>
      </c>
      <c r="W21" s="155"/>
      <c r="X21" s="155" t="s">
        <v>143</v>
      </c>
      <c r="Y21" s="155" t="s">
        <v>144</v>
      </c>
      <c r="Z21" s="145"/>
      <c r="AA21" s="145"/>
      <c r="AB21" s="145"/>
      <c r="AC21" s="145"/>
      <c r="AD21" s="145"/>
      <c r="AE21" s="145"/>
      <c r="AF21" s="145"/>
      <c r="AG21" s="145" t="s">
        <v>145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ht="20.399999999999999" outlineLevel="1" x14ac:dyDescent="0.25">
      <c r="A22" s="172">
        <v>11</v>
      </c>
      <c r="B22" s="173" t="s">
        <v>187</v>
      </c>
      <c r="C22" s="179" t="s">
        <v>188</v>
      </c>
      <c r="D22" s="174" t="s">
        <v>158</v>
      </c>
      <c r="E22" s="175">
        <v>2</v>
      </c>
      <c r="F22" s="176"/>
      <c r="G22" s="177">
        <f t="shared" si="0"/>
        <v>0</v>
      </c>
      <c r="H22" s="156">
        <v>833</v>
      </c>
      <c r="I22" s="155">
        <f t="shared" si="1"/>
        <v>1666</v>
      </c>
      <c r="J22" s="156">
        <v>60</v>
      </c>
      <c r="K22" s="155">
        <f t="shared" si="2"/>
        <v>120</v>
      </c>
      <c r="L22" s="155">
        <v>21</v>
      </c>
      <c r="M22" s="155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5"/>
      <c r="S22" s="155" t="s">
        <v>141</v>
      </c>
      <c r="T22" s="155" t="s">
        <v>142</v>
      </c>
      <c r="U22" s="155">
        <v>0</v>
      </c>
      <c r="V22" s="155">
        <f t="shared" si="6"/>
        <v>0</v>
      </c>
      <c r="W22" s="155"/>
      <c r="X22" s="155" t="s">
        <v>143</v>
      </c>
      <c r="Y22" s="155" t="s">
        <v>144</v>
      </c>
      <c r="Z22" s="145"/>
      <c r="AA22" s="145"/>
      <c r="AB22" s="145"/>
      <c r="AC22" s="145"/>
      <c r="AD22" s="145"/>
      <c r="AE22" s="145"/>
      <c r="AF22" s="145"/>
      <c r="AG22" s="145" t="s">
        <v>145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ht="20.399999999999999" outlineLevel="1" x14ac:dyDescent="0.25">
      <c r="A23" s="172">
        <v>12</v>
      </c>
      <c r="B23" s="173" t="s">
        <v>189</v>
      </c>
      <c r="C23" s="179" t="s">
        <v>190</v>
      </c>
      <c r="D23" s="174" t="s">
        <v>158</v>
      </c>
      <c r="E23" s="175">
        <v>3</v>
      </c>
      <c r="F23" s="176"/>
      <c r="G23" s="177">
        <f t="shared" si="0"/>
        <v>0</v>
      </c>
      <c r="H23" s="156">
        <v>1300</v>
      </c>
      <c r="I23" s="155">
        <f t="shared" si="1"/>
        <v>3900</v>
      </c>
      <c r="J23" s="156">
        <v>334</v>
      </c>
      <c r="K23" s="155">
        <f t="shared" si="2"/>
        <v>1002</v>
      </c>
      <c r="L23" s="155">
        <v>21</v>
      </c>
      <c r="M23" s="155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5"/>
      <c r="S23" s="155" t="s">
        <v>141</v>
      </c>
      <c r="T23" s="155" t="s">
        <v>142</v>
      </c>
      <c r="U23" s="155">
        <v>0</v>
      </c>
      <c r="V23" s="155">
        <f t="shared" si="6"/>
        <v>0</v>
      </c>
      <c r="W23" s="155"/>
      <c r="X23" s="155" t="s">
        <v>143</v>
      </c>
      <c r="Y23" s="155" t="s">
        <v>144</v>
      </c>
      <c r="Z23" s="145"/>
      <c r="AA23" s="145"/>
      <c r="AB23" s="145"/>
      <c r="AC23" s="145"/>
      <c r="AD23" s="145"/>
      <c r="AE23" s="145"/>
      <c r="AF23" s="145"/>
      <c r="AG23" s="145" t="s">
        <v>145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5">
      <c r="A24" s="172">
        <v>13</v>
      </c>
      <c r="B24" s="173" t="s">
        <v>191</v>
      </c>
      <c r="C24" s="179" t="s">
        <v>192</v>
      </c>
      <c r="D24" s="174" t="s">
        <v>158</v>
      </c>
      <c r="E24" s="175">
        <v>2</v>
      </c>
      <c r="F24" s="176"/>
      <c r="G24" s="177">
        <f t="shared" si="0"/>
        <v>0</v>
      </c>
      <c r="H24" s="156">
        <v>0</v>
      </c>
      <c r="I24" s="155">
        <f t="shared" si="1"/>
        <v>0</v>
      </c>
      <c r="J24" s="156">
        <v>1852</v>
      </c>
      <c r="K24" s="155">
        <f t="shared" si="2"/>
        <v>3704</v>
      </c>
      <c r="L24" s="155">
        <v>21</v>
      </c>
      <c r="M24" s="155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5"/>
      <c r="S24" s="155" t="s">
        <v>141</v>
      </c>
      <c r="T24" s="155" t="s">
        <v>142</v>
      </c>
      <c r="U24" s="155">
        <v>0</v>
      </c>
      <c r="V24" s="155">
        <f t="shared" si="6"/>
        <v>0</v>
      </c>
      <c r="W24" s="155"/>
      <c r="X24" s="155" t="s">
        <v>143</v>
      </c>
      <c r="Y24" s="155" t="s">
        <v>144</v>
      </c>
      <c r="Z24" s="145"/>
      <c r="AA24" s="145"/>
      <c r="AB24" s="145"/>
      <c r="AC24" s="145"/>
      <c r="AD24" s="145"/>
      <c r="AE24" s="145"/>
      <c r="AF24" s="145"/>
      <c r="AG24" s="145" t="s">
        <v>145</v>
      </c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5">
      <c r="A25" s="172">
        <v>14</v>
      </c>
      <c r="B25" s="173" t="s">
        <v>193</v>
      </c>
      <c r="C25" s="179" t="s">
        <v>194</v>
      </c>
      <c r="D25" s="174" t="s">
        <v>158</v>
      </c>
      <c r="E25" s="175">
        <v>2</v>
      </c>
      <c r="F25" s="176"/>
      <c r="G25" s="177">
        <f t="shared" si="0"/>
        <v>0</v>
      </c>
      <c r="H25" s="156">
        <v>0</v>
      </c>
      <c r="I25" s="155">
        <f t="shared" si="1"/>
        <v>0</v>
      </c>
      <c r="J25" s="156">
        <v>260</v>
      </c>
      <c r="K25" s="155">
        <f t="shared" si="2"/>
        <v>520</v>
      </c>
      <c r="L25" s="155">
        <v>21</v>
      </c>
      <c r="M25" s="155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5"/>
      <c r="S25" s="155" t="s">
        <v>141</v>
      </c>
      <c r="T25" s="155" t="s">
        <v>142</v>
      </c>
      <c r="U25" s="155">
        <v>0</v>
      </c>
      <c r="V25" s="155">
        <f t="shared" si="6"/>
        <v>0</v>
      </c>
      <c r="W25" s="155"/>
      <c r="X25" s="155" t="s">
        <v>143</v>
      </c>
      <c r="Y25" s="155" t="s">
        <v>144</v>
      </c>
      <c r="Z25" s="145"/>
      <c r="AA25" s="145"/>
      <c r="AB25" s="145"/>
      <c r="AC25" s="145"/>
      <c r="AD25" s="145"/>
      <c r="AE25" s="145"/>
      <c r="AF25" s="145"/>
      <c r="AG25" s="145" t="s">
        <v>145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5">
      <c r="A26" s="172">
        <v>15</v>
      </c>
      <c r="B26" s="173" t="s">
        <v>195</v>
      </c>
      <c r="C26" s="179" t="s">
        <v>196</v>
      </c>
      <c r="D26" s="174" t="s">
        <v>158</v>
      </c>
      <c r="E26" s="175">
        <v>5</v>
      </c>
      <c r="F26" s="176"/>
      <c r="G26" s="177">
        <f t="shared" si="0"/>
        <v>0</v>
      </c>
      <c r="H26" s="156">
        <v>0</v>
      </c>
      <c r="I26" s="155">
        <f t="shared" si="1"/>
        <v>0</v>
      </c>
      <c r="J26" s="156">
        <v>450</v>
      </c>
      <c r="K26" s="155">
        <f t="shared" si="2"/>
        <v>2250</v>
      </c>
      <c r="L26" s="155">
        <v>21</v>
      </c>
      <c r="M26" s="155">
        <f t="shared" si="3"/>
        <v>0</v>
      </c>
      <c r="N26" s="154">
        <v>0</v>
      </c>
      <c r="O26" s="154">
        <f t="shared" si="4"/>
        <v>0</v>
      </c>
      <c r="P26" s="154">
        <v>0</v>
      </c>
      <c r="Q26" s="154">
        <f t="shared" si="5"/>
        <v>0</v>
      </c>
      <c r="R26" s="155"/>
      <c r="S26" s="155" t="s">
        <v>141</v>
      </c>
      <c r="T26" s="155" t="s">
        <v>142</v>
      </c>
      <c r="U26" s="155">
        <v>0</v>
      </c>
      <c r="V26" s="155">
        <f t="shared" si="6"/>
        <v>0</v>
      </c>
      <c r="W26" s="155"/>
      <c r="X26" s="155" t="s">
        <v>143</v>
      </c>
      <c r="Y26" s="155" t="s">
        <v>144</v>
      </c>
      <c r="Z26" s="145"/>
      <c r="AA26" s="145"/>
      <c r="AB26" s="145"/>
      <c r="AC26" s="145"/>
      <c r="AD26" s="145"/>
      <c r="AE26" s="145"/>
      <c r="AF26" s="145"/>
      <c r="AG26" s="145" t="s">
        <v>145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5">
      <c r="A27" s="172">
        <v>16</v>
      </c>
      <c r="B27" s="173" t="s">
        <v>197</v>
      </c>
      <c r="C27" s="179" t="s">
        <v>198</v>
      </c>
      <c r="D27" s="174" t="s">
        <v>158</v>
      </c>
      <c r="E27" s="175">
        <v>1</v>
      </c>
      <c r="F27" s="176"/>
      <c r="G27" s="177">
        <f t="shared" si="0"/>
        <v>0</v>
      </c>
      <c r="H27" s="156">
        <v>722</v>
      </c>
      <c r="I27" s="155">
        <f t="shared" si="1"/>
        <v>722</v>
      </c>
      <c r="J27" s="156">
        <v>80</v>
      </c>
      <c r="K27" s="155">
        <f t="shared" si="2"/>
        <v>80</v>
      </c>
      <c r="L27" s="155">
        <v>21</v>
      </c>
      <c r="M27" s="155">
        <f t="shared" si="3"/>
        <v>0</v>
      </c>
      <c r="N27" s="154">
        <v>0</v>
      </c>
      <c r="O27" s="154">
        <f t="shared" si="4"/>
        <v>0</v>
      </c>
      <c r="P27" s="154">
        <v>0</v>
      </c>
      <c r="Q27" s="154">
        <f t="shared" si="5"/>
        <v>0</v>
      </c>
      <c r="R27" s="155"/>
      <c r="S27" s="155" t="s">
        <v>141</v>
      </c>
      <c r="T27" s="155" t="s">
        <v>142</v>
      </c>
      <c r="U27" s="155">
        <v>0</v>
      </c>
      <c r="V27" s="155">
        <f t="shared" si="6"/>
        <v>0</v>
      </c>
      <c r="W27" s="155"/>
      <c r="X27" s="155" t="s">
        <v>143</v>
      </c>
      <c r="Y27" s="155" t="s">
        <v>144</v>
      </c>
      <c r="Z27" s="145"/>
      <c r="AA27" s="145"/>
      <c r="AB27" s="145"/>
      <c r="AC27" s="145"/>
      <c r="AD27" s="145"/>
      <c r="AE27" s="145"/>
      <c r="AF27" s="145"/>
      <c r="AG27" s="145" t="s">
        <v>145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ht="20.399999999999999" outlineLevel="1" x14ac:dyDescent="0.25">
      <c r="A28" s="172">
        <v>17</v>
      </c>
      <c r="B28" s="173" t="s">
        <v>199</v>
      </c>
      <c r="C28" s="179" t="s">
        <v>200</v>
      </c>
      <c r="D28" s="174" t="s">
        <v>158</v>
      </c>
      <c r="E28" s="175">
        <v>1</v>
      </c>
      <c r="F28" s="176"/>
      <c r="G28" s="177">
        <f t="shared" si="0"/>
        <v>0</v>
      </c>
      <c r="H28" s="156">
        <v>0</v>
      </c>
      <c r="I28" s="155">
        <f t="shared" si="1"/>
        <v>0</v>
      </c>
      <c r="J28" s="156">
        <v>2450</v>
      </c>
      <c r="K28" s="155">
        <f t="shared" si="2"/>
        <v>2450</v>
      </c>
      <c r="L28" s="155">
        <v>21</v>
      </c>
      <c r="M28" s="155">
        <f t="shared" si="3"/>
        <v>0</v>
      </c>
      <c r="N28" s="154">
        <v>0</v>
      </c>
      <c r="O28" s="154">
        <f t="shared" si="4"/>
        <v>0</v>
      </c>
      <c r="P28" s="154">
        <v>0</v>
      </c>
      <c r="Q28" s="154">
        <f t="shared" si="5"/>
        <v>0</v>
      </c>
      <c r="R28" s="155"/>
      <c r="S28" s="155" t="s">
        <v>141</v>
      </c>
      <c r="T28" s="155" t="s">
        <v>142</v>
      </c>
      <c r="U28" s="155">
        <v>0</v>
      </c>
      <c r="V28" s="155">
        <f t="shared" si="6"/>
        <v>0</v>
      </c>
      <c r="W28" s="155"/>
      <c r="X28" s="155" t="s">
        <v>143</v>
      </c>
      <c r="Y28" s="155" t="s">
        <v>144</v>
      </c>
      <c r="Z28" s="145"/>
      <c r="AA28" s="145"/>
      <c r="AB28" s="145"/>
      <c r="AC28" s="145"/>
      <c r="AD28" s="145"/>
      <c r="AE28" s="145"/>
      <c r="AF28" s="145"/>
      <c r="AG28" s="145" t="s">
        <v>145</v>
      </c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ht="20.399999999999999" outlineLevel="1" x14ac:dyDescent="0.25">
      <c r="A29" s="172">
        <v>18</v>
      </c>
      <c r="B29" s="173" t="s">
        <v>201</v>
      </c>
      <c r="C29" s="179" t="s">
        <v>202</v>
      </c>
      <c r="D29" s="174" t="s">
        <v>158</v>
      </c>
      <c r="E29" s="175">
        <v>1</v>
      </c>
      <c r="F29" s="176"/>
      <c r="G29" s="177">
        <f t="shared" si="0"/>
        <v>0</v>
      </c>
      <c r="H29" s="156">
        <v>0</v>
      </c>
      <c r="I29" s="155">
        <f t="shared" si="1"/>
        <v>0</v>
      </c>
      <c r="J29" s="156">
        <v>1250</v>
      </c>
      <c r="K29" s="155">
        <f t="shared" si="2"/>
        <v>1250</v>
      </c>
      <c r="L29" s="155">
        <v>21</v>
      </c>
      <c r="M29" s="155">
        <f t="shared" si="3"/>
        <v>0</v>
      </c>
      <c r="N29" s="154">
        <v>0</v>
      </c>
      <c r="O29" s="154">
        <f t="shared" si="4"/>
        <v>0</v>
      </c>
      <c r="P29" s="154">
        <v>0</v>
      </c>
      <c r="Q29" s="154">
        <f t="shared" si="5"/>
        <v>0</v>
      </c>
      <c r="R29" s="155"/>
      <c r="S29" s="155" t="s">
        <v>141</v>
      </c>
      <c r="T29" s="155" t="s">
        <v>142</v>
      </c>
      <c r="U29" s="155">
        <v>0</v>
      </c>
      <c r="V29" s="155">
        <f t="shared" si="6"/>
        <v>0</v>
      </c>
      <c r="W29" s="155"/>
      <c r="X29" s="155" t="s">
        <v>143</v>
      </c>
      <c r="Y29" s="155" t="s">
        <v>144</v>
      </c>
      <c r="Z29" s="145"/>
      <c r="AA29" s="145"/>
      <c r="AB29" s="145"/>
      <c r="AC29" s="145"/>
      <c r="AD29" s="145"/>
      <c r="AE29" s="145"/>
      <c r="AF29" s="145"/>
      <c r="AG29" s="145" t="s">
        <v>145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ht="20.399999999999999" outlineLevel="1" x14ac:dyDescent="0.25">
      <c r="A30" s="172">
        <v>19</v>
      </c>
      <c r="B30" s="173" t="s">
        <v>203</v>
      </c>
      <c r="C30" s="179" t="s">
        <v>204</v>
      </c>
      <c r="D30" s="174" t="s">
        <v>158</v>
      </c>
      <c r="E30" s="175">
        <v>1</v>
      </c>
      <c r="F30" s="176"/>
      <c r="G30" s="177">
        <f t="shared" si="0"/>
        <v>0</v>
      </c>
      <c r="H30" s="156">
        <v>0</v>
      </c>
      <c r="I30" s="155">
        <f t="shared" si="1"/>
        <v>0</v>
      </c>
      <c r="J30" s="156">
        <v>4450</v>
      </c>
      <c r="K30" s="155">
        <f t="shared" si="2"/>
        <v>4450</v>
      </c>
      <c r="L30" s="155">
        <v>21</v>
      </c>
      <c r="M30" s="155">
        <f t="shared" si="3"/>
        <v>0</v>
      </c>
      <c r="N30" s="154">
        <v>0</v>
      </c>
      <c r="O30" s="154">
        <f t="shared" si="4"/>
        <v>0</v>
      </c>
      <c r="P30" s="154">
        <v>0</v>
      </c>
      <c r="Q30" s="154">
        <f t="shared" si="5"/>
        <v>0</v>
      </c>
      <c r="R30" s="155"/>
      <c r="S30" s="155" t="s">
        <v>141</v>
      </c>
      <c r="T30" s="155" t="s">
        <v>142</v>
      </c>
      <c r="U30" s="155">
        <v>0</v>
      </c>
      <c r="V30" s="155">
        <f t="shared" si="6"/>
        <v>0</v>
      </c>
      <c r="W30" s="155"/>
      <c r="X30" s="155" t="s">
        <v>143</v>
      </c>
      <c r="Y30" s="155" t="s">
        <v>144</v>
      </c>
      <c r="Z30" s="145"/>
      <c r="AA30" s="145"/>
      <c r="AB30" s="145"/>
      <c r="AC30" s="145"/>
      <c r="AD30" s="145"/>
      <c r="AE30" s="145"/>
      <c r="AF30" s="145"/>
      <c r="AG30" s="145" t="s">
        <v>145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5">
      <c r="A31" s="172">
        <v>20</v>
      </c>
      <c r="B31" s="173" t="s">
        <v>205</v>
      </c>
      <c r="C31" s="179" t="s">
        <v>206</v>
      </c>
      <c r="D31" s="174" t="s">
        <v>158</v>
      </c>
      <c r="E31" s="175">
        <v>1</v>
      </c>
      <c r="F31" s="176"/>
      <c r="G31" s="177">
        <f t="shared" si="0"/>
        <v>0</v>
      </c>
      <c r="H31" s="156">
        <v>0</v>
      </c>
      <c r="I31" s="155">
        <f t="shared" si="1"/>
        <v>0</v>
      </c>
      <c r="J31" s="156">
        <v>2650</v>
      </c>
      <c r="K31" s="155">
        <f t="shared" si="2"/>
        <v>2650</v>
      </c>
      <c r="L31" s="155">
        <v>21</v>
      </c>
      <c r="M31" s="155">
        <f t="shared" si="3"/>
        <v>0</v>
      </c>
      <c r="N31" s="154">
        <v>0</v>
      </c>
      <c r="O31" s="154">
        <f t="shared" si="4"/>
        <v>0</v>
      </c>
      <c r="P31" s="154">
        <v>0</v>
      </c>
      <c r="Q31" s="154">
        <f t="shared" si="5"/>
        <v>0</v>
      </c>
      <c r="R31" s="155"/>
      <c r="S31" s="155" t="s">
        <v>141</v>
      </c>
      <c r="T31" s="155" t="s">
        <v>142</v>
      </c>
      <c r="U31" s="155">
        <v>0</v>
      </c>
      <c r="V31" s="155">
        <f t="shared" si="6"/>
        <v>0</v>
      </c>
      <c r="W31" s="155"/>
      <c r="X31" s="155" t="s">
        <v>143</v>
      </c>
      <c r="Y31" s="155" t="s">
        <v>144</v>
      </c>
      <c r="Z31" s="145"/>
      <c r="AA31" s="145"/>
      <c r="AB31" s="145"/>
      <c r="AC31" s="145"/>
      <c r="AD31" s="145"/>
      <c r="AE31" s="145"/>
      <c r="AF31" s="145"/>
      <c r="AG31" s="145" t="s">
        <v>145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5">
      <c r="A32" s="172">
        <v>21</v>
      </c>
      <c r="B32" s="173" t="s">
        <v>207</v>
      </c>
      <c r="C32" s="179" t="s">
        <v>208</v>
      </c>
      <c r="D32" s="174" t="s">
        <v>158</v>
      </c>
      <c r="E32" s="175">
        <v>1</v>
      </c>
      <c r="F32" s="176"/>
      <c r="G32" s="177">
        <f t="shared" si="0"/>
        <v>0</v>
      </c>
      <c r="H32" s="156">
        <v>0</v>
      </c>
      <c r="I32" s="155">
        <f t="shared" si="1"/>
        <v>0</v>
      </c>
      <c r="J32" s="156">
        <v>3440</v>
      </c>
      <c r="K32" s="155">
        <f t="shared" si="2"/>
        <v>3440</v>
      </c>
      <c r="L32" s="155">
        <v>21</v>
      </c>
      <c r="M32" s="155">
        <f t="shared" si="3"/>
        <v>0</v>
      </c>
      <c r="N32" s="154">
        <v>0</v>
      </c>
      <c r="O32" s="154">
        <f t="shared" si="4"/>
        <v>0</v>
      </c>
      <c r="P32" s="154">
        <v>0</v>
      </c>
      <c r="Q32" s="154">
        <f t="shared" si="5"/>
        <v>0</v>
      </c>
      <c r="R32" s="155"/>
      <c r="S32" s="155" t="s">
        <v>141</v>
      </c>
      <c r="T32" s="155" t="s">
        <v>142</v>
      </c>
      <c r="U32" s="155">
        <v>0</v>
      </c>
      <c r="V32" s="155">
        <f t="shared" si="6"/>
        <v>0</v>
      </c>
      <c r="W32" s="155"/>
      <c r="X32" s="155" t="s">
        <v>143</v>
      </c>
      <c r="Y32" s="155" t="s">
        <v>144</v>
      </c>
      <c r="Z32" s="145"/>
      <c r="AA32" s="145"/>
      <c r="AB32" s="145"/>
      <c r="AC32" s="145"/>
      <c r="AD32" s="145"/>
      <c r="AE32" s="145"/>
      <c r="AF32" s="145"/>
      <c r="AG32" s="145" t="s">
        <v>145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5">
      <c r="A33" s="172">
        <v>22</v>
      </c>
      <c r="B33" s="173" t="s">
        <v>209</v>
      </c>
      <c r="C33" s="179" t="s">
        <v>210</v>
      </c>
      <c r="D33" s="174" t="s">
        <v>158</v>
      </c>
      <c r="E33" s="175">
        <v>1</v>
      </c>
      <c r="F33" s="176"/>
      <c r="G33" s="177">
        <f t="shared" si="0"/>
        <v>0</v>
      </c>
      <c r="H33" s="156">
        <v>0</v>
      </c>
      <c r="I33" s="155">
        <f t="shared" si="1"/>
        <v>0</v>
      </c>
      <c r="J33" s="156">
        <v>3850</v>
      </c>
      <c r="K33" s="155">
        <f t="shared" si="2"/>
        <v>3850</v>
      </c>
      <c r="L33" s="155">
        <v>21</v>
      </c>
      <c r="M33" s="155">
        <f t="shared" si="3"/>
        <v>0</v>
      </c>
      <c r="N33" s="154">
        <v>0</v>
      </c>
      <c r="O33" s="154">
        <f t="shared" si="4"/>
        <v>0</v>
      </c>
      <c r="P33" s="154">
        <v>0</v>
      </c>
      <c r="Q33" s="154">
        <f t="shared" si="5"/>
        <v>0</v>
      </c>
      <c r="R33" s="155"/>
      <c r="S33" s="155" t="s">
        <v>141</v>
      </c>
      <c r="T33" s="155" t="s">
        <v>142</v>
      </c>
      <c r="U33" s="155">
        <v>0</v>
      </c>
      <c r="V33" s="155">
        <f t="shared" si="6"/>
        <v>0</v>
      </c>
      <c r="W33" s="155"/>
      <c r="X33" s="155" t="s">
        <v>143</v>
      </c>
      <c r="Y33" s="155" t="s">
        <v>144</v>
      </c>
      <c r="Z33" s="145"/>
      <c r="AA33" s="145"/>
      <c r="AB33" s="145"/>
      <c r="AC33" s="145"/>
      <c r="AD33" s="145"/>
      <c r="AE33" s="145"/>
      <c r="AF33" s="145"/>
      <c r="AG33" s="145" t="s">
        <v>145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5">
      <c r="A34" s="172">
        <v>23</v>
      </c>
      <c r="B34" s="173" t="s">
        <v>211</v>
      </c>
      <c r="C34" s="179" t="s">
        <v>212</v>
      </c>
      <c r="D34" s="174" t="s">
        <v>158</v>
      </c>
      <c r="E34" s="175">
        <v>1</v>
      </c>
      <c r="F34" s="176"/>
      <c r="G34" s="177">
        <f t="shared" si="0"/>
        <v>0</v>
      </c>
      <c r="H34" s="156">
        <v>0</v>
      </c>
      <c r="I34" s="155">
        <f t="shared" si="1"/>
        <v>0</v>
      </c>
      <c r="J34" s="156">
        <v>850</v>
      </c>
      <c r="K34" s="155">
        <f t="shared" si="2"/>
        <v>850</v>
      </c>
      <c r="L34" s="155">
        <v>21</v>
      </c>
      <c r="M34" s="155">
        <f t="shared" si="3"/>
        <v>0</v>
      </c>
      <c r="N34" s="154">
        <v>0</v>
      </c>
      <c r="O34" s="154">
        <f t="shared" si="4"/>
        <v>0</v>
      </c>
      <c r="P34" s="154">
        <v>0</v>
      </c>
      <c r="Q34" s="154">
        <f t="shared" si="5"/>
        <v>0</v>
      </c>
      <c r="R34" s="155"/>
      <c r="S34" s="155" t="s">
        <v>141</v>
      </c>
      <c r="T34" s="155" t="s">
        <v>142</v>
      </c>
      <c r="U34" s="155">
        <v>0</v>
      </c>
      <c r="V34" s="155">
        <f t="shared" si="6"/>
        <v>0</v>
      </c>
      <c r="W34" s="155"/>
      <c r="X34" s="155" t="s">
        <v>143</v>
      </c>
      <c r="Y34" s="155" t="s">
        <v>144</v>
      </c>
      <c r="Z34" s="145"/>
      <c r="AA34" s="145"/>
      <c r="AB34" s="145"/>
      <c r="AC34" s="145"/>
      <c r="AD34" s="145"/>
      <c r="AE34" s="145"/>
      <c r="AF34" s="145"/>
      <c r="AG34" s="145" t="s">
        <v>145</v>
      </c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5">
      <c r="A35" s="172">
        <v>24</v>
      </c>
      <c r="B35" s="173" t="s">
        <v>213</v>
      </c>
      <c r="C35" s="179" t="s">
        <v>214</v>
      </c>
      <c r="D35" s="174" t="s">
        <v>158</v>
      </c>
      <c r="E35" s="175">
        <v>1</v>
      </c>
      <c r="F35" s="176"/>
      <c r="G35" s="177">
        <f t="shared" si="0"/>
        <v>0</v>
      </c>
      <c r="H35" s="156">
        <v>0</v>
      </c>
      <c r="I35" s="155">
        <f t="shared" si="1"/>
        <v>0</v>
      </c>
      <c r="J35" s="156">
        <v>4210</v>
      </c>
      <c r="K35" s="155">
        <f t="shared" si="2"/>
        <v>4210</v>
      </c>
      <c r="L35" s="155">
        <v>21</v>
      </c>
      <c r="M35" s="155">
        <f t="shared" si="3"/>
        <v>0</v>
      </c>
      <c r="N35" s="154">
        <v>0</v>
      </c>
      <c r="O35" s="154">
        <f t="shared" si="4"/>
        <v>0</v>
      </c>
      <c r="P35" s="154">
        <v>0</v>
      </c>
      <c r="Q35" s="154">
        <f t="shared" si="5"/>
        <v>0</v>
      </c>
      <c r="R35" s="155"/>
      <c r="S35" s="155" t="s">
        <v>141</v>
      </c>
      <c r="T35" s="155" t="s">
        <v>142</v>
      </c>
      <c r="U35" s="155">
        <v>0</v>
      </c>
      <c r="V35" s="155">
        <f t="shared" si="6"/>
        <v>0</v>
      </c>
      <c r="W35" s="155"/>
      <c r="X35" s="155" t="s">
        <v>143</v>
      </c>
      <c r="Y35" s="155" t="s">
        <v>144</v>
      </c>
      <c r="Z35" s="145"/>
      <c r="AA35" s="145"/>
      <c r="AB35" s="145"/>
      <c r="AC35" s="145"/>
      <c r="AD35" s="145"/>
      <c r="AE35" s="145"/>
      <c r="AF35" s="145"/>
      <c r="AG35" s="145" t="s">
        <v>145</v>
      </c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ht="20.399999999999999" outlineLevel="1" x14ac:dyDescent="0.25">
      <c r="A36" s="172">
        <v>25</v>
      </c>
      <c r="B36" s="173" t="s">
        <v>215</v>
      </c>
      <c r="C36" s="179" t="s">
        <v>216</v>
      </c>
      <c r="D36" s="174" t="s">
        <v>158</v>
      </c>
      <c r="E36" s="175">
        <v>1</v>
      </c>
      <c r="F36" s="176"/>
      <c r="G36" s="177">
        <f t="shared" si="0"/>
        <v>0</v>
      </c>
      <c r="H36" s="156">
        <v>0</v>
      </c>
      <c r="I36" s="155">
        <f t="shared" si="1"/>
        <v>0</v>
      </c>
      <c r="J36" s="156">
        <v>2700</v>
      </c>
      <c r="K36" s="155">
        <f t="shared" si="2"/>
        <v>2700</v>
      </c>
      <c r="L36" s="155">
        <v>21</v>
      </c>
      <c r="M36" s="155">
        <f t="shared" si="3"/>
        <v>0</v>
      </c>
      <c r="N36" s="154">
        <v>0</v>
      </c>
      <c r="O36" s="154">
        <f t="shared" si="4"/>
        <v>0</v>
      </c>
      <c r="P36" s="154">
        <v>0</v>
      </c>
      <c r="Q36" s="154">
        <f t="shared" si="5"/>
        <v>0</v>
      </c>
      <c r="R36" s="155"/>
      <c r="S36" s="155" t="s">
        <v>141</v>
      </c>
      <c r="T36" s="155" t="s">
        <v>142</v>
      </c>
      <c r="U36" s="155">
        <v>0</v>
      </c>
      <c r="V36" s="155">
        <f t="shared" si="6"/>
        <v>0</v>
      </c>
      <c r="W36" s="155"/>
      <c r="X36" s="155" t="s">
        <v>143</v>
      </c>
      <c r="Y36" s="155" t="s">
        <v>144</v>
      </c>
      <c r="Z36" s="145"/>
      <c r="AA36" s="145"/>
      <c r="AB36" s="145"/>
      <c r="AC36" s="145"/>
      <c r="AD36" s="145"/>
      <c r="AE36" s="145"/>
      <c r="AF36" s="145"/>
      <c r="AG36" s="145" t="s">
        <v>145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5">
      <c r="A37" s="172">
        <v>26</v>
      </c>
      <c r="B37" s="173" t="s">
        <v>217</v>
      </c>
      <c r="C37" s="179" t="s">
        <v>218</v>
      </c>
      <c r="D37" s="174" t="s">
        <v>158</v>
      </c>
      <c r="E37" s="175">
        <v>1</v>
      </c>
      <c r="F37" s="176"/>
      <c r="G37" s="177">
        <f t="shared" si="0"/>
        <v>0</v>
      </c>
      <c r="H37" s="156">
        <v>0</v>
      </c>
      <c r="I37" s="155">
        <f t="shared" si="1"/>
        <v>0</v>
      </c>
      <c r="J37" s="156">
        <v>2150</v>
      </c>
      <c r="K37" s="155">
        <f t="shared" si="2"/>
        <v>2150</v>
      </c>
      <c r="L37" s="155">
        <v>21</v>
      </c>
      <c r="M37" s="155">
        <f t="shared" si="3"/>
        <v>0</v>
      </c>
      <c r="N37" s="154">
        <v>0</v>
      </c>
      <c r="O37" s="154">
        <f t="shared" si="4"/>
        <v>0</v>
      </c>
      <c r="P37" s="154">
        <v>0</v>
      </c>
      <c r="Q37" s="154">
        <f t="shared" si="5"/>
        <v>0</v>
      </c>
      <c r="R37" s="155"/>
      <c r="S37" s="155" t="s">
        <v>141</v>
      </c>
      <c r="T37" s="155" t="s">
        <v>142</v>
      </c>
      <c r="U37" s="155">
        <v>0</v>
      </c>
      <c r="V37" s="155">
        <f t="shared" si="6"/>
        <v>0</v>
      </c>
      <c r="W37" s="155"/>
      <c r="X37" s="155" t="s">
        <v>143</v>
      </c>
      <c r="Y37" s="155" t="s">
        <v>144</v>
      </c>
      <c r="Z37" s="145"/>
      <c r="AA37" s="145"/>
      <c r="AB37" s="145"/>
      <c r="AC37" s="145"/>
      <c r="AD37" s="145"/>
      <c r="AE37" s="145"/>
      <c r="AF37" s="145"/>
      <c r="AG37" s="145" t="s">
        <v>145</v>
      </c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ht="20.399999999999999" outlineLevel="1" x14ac:dyDescent="0.25">
      <c r="A38" s="172">
        <v>27</v>
      </c>
      <c r="B38" s="173" t="s">
        <v>219</v>
      </c>
      <c r="C38" s="179" t="s">
        <v>220</v>
      </c>
      <c r="D38" s="174" t="s">
        <v>158</v>
      </c>
      <c r="E38" s="175">
        <v>2</v>
      </c>
      <c r="F38" s="176"/>
      <c r="G38" s="177">
        <f t="shared" si="0"/>
        <v>0</v>
      </c>
      <c r="H38" s="156">
        <v>0</v>
      </c>
      <c r="I38" s="155">
        <f t="shared" si="1"/>
        <v>0</v>
      </c>
      <c r="J38" s="156">
        <v>7500</v>
      </c>
      <c r="K38" s="155">
        <f t="shared" si="2"/>
        <v>15000</v>
      </c>
      <c r="L38" s="155">
        <v>21</v>
      </c>
      <c r="M38" s="155">
        <f t="shared" si="3"/>
        <v>0</v>
      </c>
      <c r="N38" s="154">
        <v>0</v>
      </c>
      <c r="O38" s="154">
        <f t="shared" si="4"/>
        <v>0</v>
      </c>
      <c r="P38" s="154">
        <v>0</v>
      </c>
      <c r="Q38" s="154">
        <f t="shared" si="5"/>
        <v>0</v>
      </c>
      <c r="R38" s="155"/>
      <c r="S38" s="155" t="s">
        <v>141</v>
      </c>
      <c r="T38" s="155" t="s">
        <v>142</v>
      </c>
      <c r="U38" s="155">
        <v>0</v>
      </c>
      <c r="V38" s="155">
        <f t="shared" si="6"/>
        <v>0</v>
      </c>
      <c r="W38" s="155"/>
      <c r="X38" s="155" t="s">
        <v>143</v>
      </c>
      <c r="Y38" s="155" t="s">
        <v>144</v>
      </c>
      <c r="Z38" s="145"/>
      <c r="AA38" s="145"/>
      <c r="AB38" s="145"/>
      <c r="AC38" s="145"/>
      <c r="AD38" s="145"/>
      <c r="AE38" s="145"/>
      <c r="AF38" s="145"/>
      <c r="AG38" s="145" t="s">
        <v>145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ht="20.399999999999999" outlineLevel="1" x14ac:dyDescent="0.25">
      <c r="A39" s="172">
        <v>28</v>
      </c>
      <c r="B39" s="173" t="s">
        <v>221</v>
      </c>
      <c r="C39" s="179" t="s">
        <v>222</v>
      </c>
      <c r="D39" s="174" t="s">
        <v>158</v>
      </c>
      <c r="E39" s="175">
        <v>1</v>
      </c>
      <c r="F39" s="176"/>
      <c r="G39" s="177">
        <f t="shared" si="0"/>
        <v>0</v>
      </c>
      <c r="H39" s="156">
        <v>0</v>
      </c>
      <c r="I39" s="155">
        <f t="shared" si="1"/>
        <v>0</v>
      </c>
      <c r="J39" s="156">
        <v>9000</v>
      </c>
      <c r="K39" s="155">
        <f t="shared" si="2"/>
        <v>9000</v>
      </c>
      <c r="L39" s="155">
        <v>21</v>
      </c>
      <c r="M39" s="155">
        <f t="shared" si="3"/>
        <v>0</v>
      </c>
      <c r="N39" s="154">
        <v>0</v>
      </c>
      <c r="O39" s="154">
        <f t="shared" si="4"/>
        <v>0</v>
      </c>
      <c r="P39" s="154">
        <v>0</v>
      </c>
      <c r="Q39" s="154">
        <f t="shared" si="5"/>
        <v>0</v>
      </c>
      <c r="R39" s="155"/>
      <c r="S39" s="155" t="s">
        <v>141</v>
      </c>
      <c r="T39" s="155" t="s">
        <v>142</v>
      </c>
      <c r="U39" s="155">
        <v>0</v>
      </c>
      <c r="V39" s="155">
        <f t="shared" si="6"/>
        <v>0</v>
      </c>
      <c r="W39" s="155"/>
      <c r="X39" s="155" t="s">
        <v>143</v>
      </c>
      <c r="Y39" s="155" t="s">
        <v>144</v>
      </c>
      <c r="Z39" s="145"/>
      <c r="AA39" s="145"/>
      <c r="AB39" s="145"/>
      <c r="AC39" s="145"/>
      <c r="AD39" s="145"/>
      <c r="AE39" s="145"/>
      <c r="AF39" s="145"/>
      <c r="AG39" s="145" t="s">
        <v>145</v>
      </c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ht="20.399999999999999" outlineLevel="1" x14ac:dyDescent="0.25">
      <c r="A40" s="172">
        <v>29</v>
      </c>
      <c r="B40" s="173" t="s">
        <v>223</v>
      </c>
      <c r="C40" s="179" t="s">
        <v>224</v>
      </c>
      <c r="D40" s="174" t="s">
        <v>158</v>
      </c>
      <c r="E40" s="175">
        <v>1</v>
      </c>
      <c r="F40" s="176"/>
      <c r="G40" s="177">
        <f t="shared" si="0"/>
        <v>0</v>
      </c>
      <c r="H40" s="156">
        <v>0</v>
      </c>
      <c r="I40" s="155">
        <f t="shared" si="1"/>
        <v>0</v>
      </c>
      <c r="J40" s="156">
        <v>3500</v>
      </c>
      <c r="K40" s="155">
        <f t="shared" si="2"/>
        <v>3500</v>
      </c>
      <c r="L40" s="155">
        <v>21</v>
      </c>
      <c r="M40" s="155">
        <f t="shared" si="3"/>
        <v>0</v>
      </c>
      <c r="N40" s="154">
        <v>0</v>
      </c>
      <c r="O40" s="154">
        <f t="shared" si="4"/>
        <v>0</v>
      </c>
      <c r="P40" s="154">
        <v>0</v>
      </c>
      <c r="Q40" s="154">
        <f t="shared" si="5"/>
        <v>0</v>
      </c>
      <c r="R40" s="155"/>
      <c r="S40" s="155" t="s">
        <v>141</v>
      </c>
      <c r="T40" s="155" t="s">
        <v>142</v>
      </c>
      <c r="U40" s="155">
        <v>0</v>
      </c>
      <c r="V40" s="155">
        <f t="shared" si="6"/>
        <v>0</v>
      </c>
      <c r="W40" s="155"/>
      <c r="X40" s="155" t="s">
        <v>143</v>
      </c>
      <c r="Y40" s="155" t="s">
        <v>144</v>
      </c>
      <c r="Z40" s="145"/>
      <c r="AA40" s="145"/>
      <c r="AB40" s="145"/>
      <c r="AC40" s="145"/>
      <c r="AD40" s="145"/>
      <c r="AE40" s="145"/>
      <c r="AF40" s="145"/>
      <c r="AG40" s="145" t="s">
        <v>145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5">
      <c r="A41" s="172">
        <v>30</v>
      </c>
      <c r="B41" s="173" t="s">
        <v>225</v>
      </c>
      <c r="C41" s="179" t="s">
        <v>226</v>
      </c>
      <c r="D41" s="174" t="s">
        <v>158</v>
      </c>
      <c r="E41" s="175">
        <v>1</v>
      </c>
      <c r="F41" s="176"/>
      <c r="G41" s="177">
        <f t="shared" si="0"/>
        <v>0</v>
      </c>
      <c r="H41" s="156">
        <v>0</v>
      </c>
      <c r="I41" s="155">
        <f t="shared" si="1"/>
        <v>0</v>
      </c>
      <c r="J41" s="156">
        <v>3500</v>
      </c>
      <c r="K41" s="155">
        <f t="shared" si="2"/>
        <v>3500</v>
      </c>
      <c r="L41" s="155">
        <v>21</v>
      </c>
      <c r="M41" s="155">
        <f t="shared" si="3"/>
        <v>0</v>
      </c>
      <c r="N41" s="154">
        <v>0</v>
      </c>
      <c r="O41" s="154">
        <f t="shared" si="4"/>
        <v>0</v>
      </c>
      <c r="P41" s="154">
        <v>0</v>
      </c>
      <c r="Q41" s="154">
        <f t="shared" si="5"/>
        <v>0</v>
      </c>
      <c r="R41" s="155"/>
      <c r="S41" s="155" t="s">
        <v>141</v>
      </c>
      <c r="T41" s="155" t="s">
        <v>142</v>
      </c>
      <c r="U41" s="155">
        <v>0</v>
      </c>
      <c r="V41" s="155">
        <f t="shared" si="6"/>
        <v>0</v>
      </c>
      <c r="W41" s="155"/>
      <c r="X41" s="155" t="s">
        <v>143</v>
      </c>
      <c r="Y41" s="155" t="s">
        <v>144</v>
      </c>
      <c r="Z41" s="145"/>
      <c r="AA41" s="145"/>
      <c r="AB41" s="145"/>
      <c r="AC41" s="145"/>
      <c r="AD41" s="145"/>
      <c r="AE41" s="145"/>
      <c r="AF41" s="145"/>
      <c r="AG41" s="145" t="s">
        <v>145</v>
      </c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5">
      <c r="A42" s="172">
        <v>31</v>
      </c>
      <c r="B42" s="173" t="s">
        <v>227</v>
      </c>
      <c r="C42" s="179" t="s">
        <v>228</v>
      </c>
      <c r="D42" s="174" t="s">
        <v>158</v>
      </c>
      <c r="E42" s="175">
        <v>4</v>
      </c>
      <c r="F42" s="176"/>
      <c r="G42" s="177">
        <f t="shared" si="0"/>
        <v>0</v>
      </c>
      <c r="H42" s="156">
        <v>0</v>
      </c>
      <c r="I42" s="155">
        <f t="shared" si="1"/>
        <v>0</v>
      </c>
      <c r="J42" s="156">
        <v>380</v>
      </c>
      <c r="K42" s="155">
        <f t="shared" si="2"/>
        <v>1520</v>
      </c>
      <c r="L42" s="155">
        <v>21</v>
      </c>
      <c r="M42" s="155">
        <f t="shared" si="3"/>
        <v>0</v>
      </c>
      <c r="N42" s="154">
        <v>0</v>
      </c>
      <c r="O42" s="154">
        <f t="shared" si="4"/>
        <v>0</v>
      </c>
      <c r="P42" s="154">
        <v>0</v>
      </c>
      <c r="Q42" s="154">
        <f t="shared" si="5"/>
        <v>0</v>
      </c>
      <c r="R42" s="155"/>
      <c r="S42" s="155" t="s">
        <v>141</v>
      </c>
      <c r="T42" s="155" t="s">
        <v>142</v>
      </c>
      <c r="U42" s="155">
        <v>0</v>
      </c>
      <c r="V42" s="155">
        <f t="shared" si="6"/>
        <v>0</v>
      </c>
      <c r="W42" s="155"/>
      <c r="X42" s="155" t="s">
        <v>143</v>
      </c>
      <c r="Y42" s="155" t="s">
        <v>144</v>
      </c>
      <c r="Z42" s="145"/>
      <c r="AA42" s="145"/>
      <c r="AB42" s="145"/>
      <c r="AC42" s="145"/>
      <c r="AD42" s="145"/>
      <c r="AE42" s="145"/>
      <c r="AF42" s="145"/>
      <c r="AG42" s="145" t="s">
        <v>145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ht="20.399999999999999" outlineLevel="1" x14ac:dyDescent="0.25">
      <c r="A43" s="172">
        <v>32</v>
      </c>
      <c r="B43" s="173" t="s">
        <v>229</v>
      </c>
      <c r="C43" s="179" t="s">
        <v>230</v>
      </c>
      <c r="D43" s="174" t="s">
        <v>158</v>
      </c>
      <c r="E43" s="175">
        <v>1</v>
      </c>
      <c r="F43" s="176"/>
      <c r="G43" s="177">
        <f t="shared" si="0"/>
        <v>0</v>
      </c>
      <c r="H43" s="156">
        <v>0</v>
      </c>
      <c r="I43" s="155">
        <f t="shared" si="1"/>
        <v>0</v>
      </c>
      <c r="J43" s="156">
        <v>2950</v>
      </c>
      <c r="K43" s="155">
        <f t="shared" si="2"/>
        <v>2950</v>
      </c>
      <c r="L43" s="155">
        <v>21</v>
      </c>
      <c r="M43" s="155">
        <f t="shared" si="3"/>
        <v>0</v>
      </c>
      <c r="N43" s="154">
        <v>0</v>
      </c>
      <c r="O43" s="154">
        <f t="shared" si="4"/>
        <v>0</v>
      </c>
      <c r="P43" s="154">
        <v>0</v>
      </c>
      <c r="Q43" s="154">
        <f t="shared" si="5"/>
        <v>0</v>
      </c>
      <c r="R43" s="155"/>
      <c r="S43" s="155" t="s">
        <v>141</v>
      </c>
      <c r="T43" s="155" t="s">
        <v>142</v>
      </c>
      <c r="U43" s="155">
        <v>0</v>
      </c>
      <c r="V43" s="155">
        <f t="shared" si="6"/>
        <v>0</v>
      </c>
      <c r="W43" s="155"/>
      <c r="X43" s="155" t="s">
        <v>143</v>
      </c>
      <c r="Y43" s="155" t="s">
        <v>144</v>
      </c>
      <c r="Z43" s="145"/>
      <c r="AA43" s="145"/>
      <c r="AB43" s="145"/>
      <c r="AC43" s="145"/>
      <c r="AD43" s="145"/>
      <c r="AE43" s="145"/>
      <c r="AF43" s="145"/>
      <c r="AG43" s="145" t="s">
        <v>145</v>
      </c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5">
      <c r="A44" s="172">
        <v>33</v>
      </c>
      <c r="B44" s="173" t="s">
        <v>231</v>
      </c>
      <c r="C44" s="179" t="s">
        <v>232</v>
      </c>
      <c r="D44" s="174" t="s">
        <v>158</v>
      </c>
      <c r="E44" s="175">
        <v>1</v>
      </c>
      <c r="F44" s="176"/>
      <c r="G44" s="177">
        <f t="shared" si="0"/>
        <v>0</v>
      </c>
      <c r="H44" s="156">
        <v>0</v>
      </c>
      <c r="I44" s="155">
        <f t="shared" si="1"/>
        <v>0</v>
      </c>
      <c r="J44" s="156">
        <v>14800</v>
      </c>
      <c r="K44" s="155">
        <f t="shared" si="2"/>
        <v>14800</v>
      </c>
      <c r="L44" s="155">
        <v>21</v>
      </c>
      <c r="M44" s="155">
        <f t="shared" si="3"/>
        <v>0</v>
      </c>
      <c r="N44" s="154">
        <v>0</v>
      </c>
      <c r="O44" s="154">
        <f t="shared" si="4"/>
        <v>0</v>
      </c>
      <c r="P44" s="154">
        <v>0</v>
      </c>
      <c r="Q44" s="154">
        <f t="shared" si="5"/>
        <v>0</v>
      </c>
      <c r="R44" s="155"/>
      <c r="S44" s="155" t="s">
        <v>141</v>
      </c>
      <c r="T44" s="155" t="s">
        <v>142</v>
      </c>
      <c r="U44" s="155">
        <v>0</v>
      </c>
      <c r="V44" s="155">
        <f t="shared" si="6"/>
        <v>0</v>
      </c>
      <c r="W44" s="155"/>
      <c r="X44" s="155" t="s">
        <v>143</v>
      </c>
      <c r="Y44" s="155" t="s">
        <v>144</v>
      </c>
      <c r="Z44" s="145"/>
      <c r="AA44" s="145"/>
      <c r="AB44" s="145"/>
      <c r="AC44" s="145"/>
      <c r="AD44" s="145"/>
      <c r="AE44" s="145"/>
      <c r="AF44" s="145"/>
      <c r="AG44" s="145" t="s">
        <v>145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ht="20.399999999999999" outlineLevel="1" x14ac:dyDescent="0.25">
      <c r="A45" s="172">
        <v>34</v>
      </c>
      <c r="B45" s="173" t="s">
        <v>233</v>
      </c>
      <c r="C45" s="179" t="s">
        <v>234</v>
      </c>
      <c r="D45" s="174" t="s">
        <v>158</v>
      </c>
      <c r="E45" s="175">
        <v>1</v>
      </c>
      <c r="F45" s="176"/>
      <c r="G45" s="177">
        <f t="shared" si="0"/>
        <v>0</v>
      </c>
      <c r="H45" s="156">
        <v>0</v>
      </c>
      <c r="I45" s="155">
        <f t="shared" si="1"/>
        <v>0</v>
      </c>
      <c r="J45" s="156">
        <v>3500</v>
      </c>
      <c r="K45" s="155">
        <f t="shared" si="2"/>
        <v>3500</v>
      </c>
      <c r="L45" s="155">
        <v>21</v>
      </c>
      <c r="M45" s="155">
        <f t="shared" si="3"/>
        <v>0</v>
      </c>
      <c r="N45" s="154">
        <v>0</v>
      </c>
      <c r="O45" s="154">
        <f t="shared" si="4"/>
        <v>0</v>
      </c>
      <c r="P45" s="154">
        <v>0</v>
      </c>
      <c r="Q45" s="154">
        <f t="shared" si="5"/>
        <v>0</v>
      </c>
      <c r="R45" s="155"/>
      <c r="S45" s="155" t="s">
        <v>141</v>
      </c>
      <c r="T45" s="155" t="s">
        <v>142</v>
      </c>
      <c r="U45" s="155">
        <v>0</v>
      </c>
      <c r="V45" s="155">
        <f t="shared" si="6"/>
        <v>0</v>
      </c>
      <c r="W45" s="155"/>
      <c r="X45" s="155" t="s">
        <v>143</v>
      </c>
      <c r="Y45" s="155" t="s">
        <v>144</v>
      </c>
      <c r="Z45" s="145"/>
      <c r="AA45" s="145"/>
      <c r="AB45" s="145"/>
      <c r="AC45" s="145"/>
      <c r="AD45" s="145"/>
      <c r="AE45" s="145"/>
      <c r="AF45" s="145"/>
      <c r="AG45" s="145" t="s">
        <v>145</v>
      </c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5">
      <c r="A46" s="172">
        <v>35</v>
      </c>
      <c r="B46" s="173" t="s">
        <v>235</v>
      </c>
      <c r="C46" s="179" t="s">
        <v>236</v>
      </c>
      <c r="D46" s="174" t="s">
        <v>158</v>
      </c>
      <c r="E46" s="175">
        <v>2</v>
      </c>
      <c r="F46" s="176"/>
      <c r="G46" s="177">
        <f t="shared" si="0"/>
        <v>0</v>
      </c>
      <c r="H46" s="156">
        <v>0</v>
      </c>
      <c r="I46" s="155">
        <f t="shared" si="1"/>
        <v>0</v>
      </c>
      <c r="J46" s="156">
        <v>2300</v>
      </c>
      <c r="K46" s="155">
        <f t="shared" si="2"/>
        <v>4600</v>
      </c>
      <c r="L46" s="155">
        <v>21</v>
      </c>
      <c r="M46" s="155">
        <f t="shared" si="3"/>
        <v>0</v>
      </c>
      <c r="N46" s="154">
        <v>0</v>
      </c>
      <c r="O46" s="154">
        <f t="shared" si="4"/>
        <v>0</v>
      </c>
      <c r="P46" s="154">
        <v>0</v>
      </c>
      <c r="Q46" s="154">
        <f t="shared" si="5"/>
        <v>0</v>
      </c>
      <c r="R46" s="155"/>
      <c r="S46" s="155" t="s">
        <v>141</v>
      </c>
      <c r="T46" s="155" t="s">
        <v>142</v>
      </c>
      <c r="U46" s="155">
        <v>0</v>
      </c>
      <c r="V46" s="155">
        <f t="shared" si="6"/>
        <v>0</v>
      </c>
      <c r="W46" s="155"/>
      <c r="X46" s="155" t="s">
        <v>143</v>
      </c>
      <c r="Y46" s="155" t="s">
        <v>144</v>
      </c>
      <c r="Z46" s="145"/>
      <c r="AA46" s="145"/>
      <c r="AB46" s="145"/>
      <c r="AC46" s="145"/>
      <c r="AD46" s="145"/>
      <c r="AE46" s="145"/>
      <c r="AF46" s="145"/>
      <c r="AG46" s="145" t="s">
        <v>145</v>
      </c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ht="20.399999999999999" outlineLevel="1" x14ac:dyDescent="0.25">
      <c r="A47" s="166">
        <v>36</v>
      </c>
      <c r="B47" s="167" t="s">
        <v>237</v>
      </c>
      <c r="C47" s="180" t="s">
        <v>238</v>
      </c>
      <c r="D47" s="168" t="s">
        <v>158</v>
      </c>
      <c r="E47" s="169">
        <v>5</v>
      </c>
      <c r="F47" s="170"/>
      <c r="G47" s="171">
        <f t="shared" si="0"/>
        <v>0</v>
      </c>
      <c r="H47" s="156">
        <v>0</v>
      </c>
      <c r="I47" s="155">
        <f t="shared" si="1"/>
        <v>0</v>
      </c>
      <c r="J47" s="156">
        <v>1000</v>
      </c>
      <c r="K47" s="155">
        <f t="shared" si="2"/>
        <v>5000</v>
      </c>
      <c r="L47" s="155">
        <v>21</v>
      </c>
      <c r="M47" s="155">
        <f t="shared" si="3"/>
        <v>0</v>
      </c>
      <c r="N47" s="154">
        <v>0</v>
      </c>
      <c r="O47" s="154">
        <f t="shared" si="4"/>
        <v>0</v>
      </c>
      <c r="P47" s="154">
        <v>0</v>
      </c>
      <c r="Q47" s="154">
        <f t="shared" si="5"/>
        <v>0</v>
      </c>
      <c r="R47" s="155"/>
      <c r="S47" s="155" t="s">
        <v>141</v>
      </c>
      <c r="T47" s="155" t="s">
        <v>142</v>
      </c>
      <c r="U47" s="155">
        <v>0</v>
      </c>
      <c r="V47" s="155">
        <f t="shared" si="6"/>
        <v>0</v>
      </c>
      <c r="W47" s="155"/>
      <c r="X47" s="155" t="s">
        <v>143</v>
      </c>
      <c r="Y47" s="155" t="s">
        <v>144</v>
      </c>
      <c r="Z47" s="145"/>
      <c r="AA47" s="145"/>
      <c r="AB47" s="145"/>
      <c r="AC47" s="145"/>
      <c r="AD47" s="145"/>
      <c r="AE47" s="145"/>
      <c r="AF47" s="145"/>
      <c r="AG47" s="145" t="s">
        <v>145</v>
      </c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x14ac:dyDescent="0.25">
      <c r="A48" s="3"/>
      <c r="B48" s="4"/>
      <c r="C48" s="181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v>15</v>
      </c>
      <c r="AF48">
        <v>21</v>
      </c>
      <c r="AG48" t="s">
        <v>122</v>
      </c>
    </row>
    <row r="49" spans="1:33" x14ac:dyDescent="0.25">
      <c r="A49" s="148"/>
      <c r="B49" s="149" t="s">
        <v>31</v>
      </c>
      <c r="C49" s="182"/>
      <c r="D49" s="150"/>
      <c r="E49" s="151"/>
      <c r="F49" s="151"/>
      <c r="G49" s="165">
        <f>G8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f>SUMIF(L7:L47,AE48,G7:G47)</f>
        <v>0</v>
      </c>
      <c r="AF49">
        <f>SUMIF(L7:L47,AF48,G7:G47)</f>
        <v>0</v>
      </c>
      <c r="AG49" t="s">
        <v>152</v>
      </c>
    </row>
    <row r="50" spans="1:33" x14ac:dyDescent="0.25">
      <c r="A50" s="3"/>
      <c r="B50" s="4"/>
      <c r="C50" s="181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5">
      <c r="A51" s="3"/>
      <c r="B51" s="4"/>
      <c r="C51" s="181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5">
      <c r="A52" s="583" t="s">
        <v>153</v>
      </c>
      <c r="B52" s="583"/>
      <c r="C52" s="584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5">
      <c r="A53" s="562"/>
      <c r="B53" s="563"/>
      <c r="C53" s="564"/>
      <c r="D53" s="563"/>
      <c r="E53" s="563"/>
      <c r="F53" s="563"/>
      <c r="G53" s="565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G53" t="s">
        <v>154</v>
      </c>
    </row>
    <row r="54" spans="1:33" x14ac:dyDescent="0.25">
      <c r="A54" s="566"/>
      <c r="B54" s="567"/>
      <c r="C54" s="568"/>
      <c r="D54" s="567"/>
      <c r="E54" s="567"/>
      <c r="F54" s="567"/>
      <c r="G54" s="569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33" x14ac:dyDescent="0.25">
      <c r="A55" s="566"/>
      <c r="B55" s="567"/>
      <c r="C55" s="568"/>
      <c r="D55" s="567"/>
      <c r="E55" s="567"/>
      <c r="F55" s="567"/>
      <c r="G55" s="569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5">
      <c r="A56" s="566"/>
      <c r="B56" s="567"/>
      <c r="C56" s="568"/>
      <c r="D56" s="567"/>
      <c r="E56" s="567"/>
      <c r="F56" s="567"/>
      <c r="G56" s="569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33" x14ac:dyDescent="0.25">
      <c r="A57" s="570"/>
      <c r="B57" s="571"/>
      <c r="C57" s="572"/>
      <c r="D57" s="571"/>
      <c r="E57" s="571"/>
      <c r="F57" s="571"/>
      <c r="G57" s="57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33" x14ac:dyDescent="0.25">
      <c r="A58" s="3"/>
      <c r="B58" s="4"/>
      <c r="C58" s="181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33" x14ac:dyDescent="0.25">
      <c r="C59" s="183"/>
      <c r="D59" s="10"/>
      <c r="AG59" t="s">
        <v>155</v>
      </c>
    </row>
    <row r="60" spans="1:33" x14ac:dyDescent="0.25">
      <c r="D60" s="10"/>
    </row>
    <row r="61" spans="1:33" x14ac:dyDescent="0.25">
      <c r="D61" s="10"/>
    </row>
    <row r="62" spans="1:33" x14ac:dyDescent="0.25">
      <c r="D62" s="10"/>
    </row>
    <row r="63" spans="1:33" x14ac:dyDescent="0.25">
      <c r="D63" s="10"/>
    </row>
    <row r="64" spans="1:33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eF2JMOkRJEXI7i9z2u98glz+BoJTEbOQdT6fVMD8b32tf+KobmcZUw+b1Pq6dkOvBgmK4KzBzKMPPoFXXHIwAQ==" saltValue="Hu65SuotMLOQcDLlIQvqUA==" spinCount="100000" sheet="1" objects="1" scenarios="1"/>
  <mergeCells count="7">
    <mergeCell ref="A53:G57"/>
    <mergeCell ref="C13:G13"/>
    <mergeCell ref="A1:G1"/>
    <mergeCell ref="C2:G2"/>
    <mergeCell ref="C3:G3"/>
    <mergeCell ref="C4:G4"/>
    <mergeCell ref="A52:C52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52</vt:i4>
      </vt:variant>
    </vt:vector>
  </HeadingPairs>
  <TitlesOfParts>
    <vt:vector size="61" baseType="lpstr">
      <vt:lpstr>Stavba</vt:lpstr>
      <vt:lpstr>VzorPolozky</vt:lpstr>
      <vt:lpstr>SO 12 D1.1 + D1.2 Pol</vt:lpstr>
      <vt:lpstr>SO 12 D 1.4 Pol</vt:lpstr>
      <vt:lpstr>D 1.4.1 ZTI</vt:lpstr>
      <vt:lpstr>D 1.4.2 Elektroinstalace</vt:lpstr>
      <vt:lpstr>D 1.4.4 Vzduchotechnika</vt:lpstr>
      <vt:lpstr>D 1.4.5 Slaboproud</vt:lpstr>
      <vt:lpstr>SO 12 D 1.5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12 D 1.4 Pol'!Názvy_tisku</vt:lpstr>
      <vt:lpstr>'SO 12 D 1.5 Pol'!Názvy_tisku</vt:lpstr>
      <vt:lpstr>'SO 12 D1.1 + D1.2 Pol'!Názvy_tisku</vt:lpstr>
      <vt:lpstr>oadresa</vt:lpstr>
      <vt:lpstr>Stavba!Objednatel</vt:lpstr>
      <vt:lpstr>Stavba!Objekt</vt:lpstr>
      <vt:lpstr>'SO 12 D 1.4 Pol'!Oblast_tisku</vt:lpstr>
      <vt:lpstr>'SO 12 D 1.5 Pol'!Oblast_tisku</vt:lpstr>
      <vt:lpstr>'SO 12 D1.1 + D1.2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Jan Tejmar</cp:lastModifiedBy>
  <cp:lastPrinted>2019-03-19T12:27:02Z</cp:lastPrinted>
  <dcterms:created xsi:type="dcterms:W3CDTF">2009-04-08T07:15:50Z</dcterms:created>
  <dcterms:modified xsi:type="dcterms:W3CDTF">2024-01-08T20:36:23Z</dcterms:modified>
</cp:coreProperties>
</file>