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31 Rekapitulace" sheetId="12" r:id="rId3"/>
    <sheet name="SO 31 Rozpočet" sheetId="13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31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31 Rekapitulace'!$A$1:$Y$21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3" l="1"/>
  <c r="G48" i="13"/>
  <c r="G43" i="13"/>
  <c r="G46" i="13"/>
  <c r="G44" i="13"/>
  <c r="G19" i="13"/>
  <c r="G20" i="13"/>
  <c r="G7" i="13"/>
  <c r="G15" i="13"/>
  <c r="G12" i="13"/>
  <c r="G29" i="13"/>
  <c r="G27" i="13" s="1"/>
  <c r="G28" i="13"/>
  <c r="G25" i="13"/>
  <c r="G26" i="13"/>
  <c r="AW53" i="13" l="1"/>
  <c r="AU53" i="13"/>
  <c r="AT53" i="13"/>
  <c r="AS53" i="13"/>
  <c r="AR53" i="13"/>
  <c r="I53" i="13"/>
  <c r="AQ53" i="13" s="1"/>
  <c r="AW51" i="13"/>
  <c r="AU51" i="13"/>
  <c r="AT51" i="13"/>
  <c r="AS51" i="13"/>
  <c r="AR51" i="13"/>
  <c r="AQ51" i="13"/>
  <c r="I51" i="13"/>
  <c r="AW49" i="13"/>
  <c r="AU49" i="13"/>
  <c r="AT49" i="13"/>
  <c r="AS49" i="13"/>
  <c r="AR49" i="13"/>
  <c r="I49" i="13"/>
  <c r="AQ49" i="13" s="1"/>
  <c r="AW47" i="13"/>
  <c r="AU47" i="13"/>
  <c r="AT47" i="13"/>
  <c r="AS47" i="13"/>
  <c r="AR47" i="13"/>
  <c r="I47" i="13"/>
  <c r="AQ47" i="13" s="1"/>
  <c r="AW43" i="13"/>
  <c r="AU43" i="13"/>
  <c r="AT43" i="13"/>
  <c r="AS43" i="13"/>
  <c r="AR43" i="13"/>
  <c r="I43" i="13"/>
  <c r="AQ43" i="13" s="1"/>
  <c r="AW41" i="13"/>
  <c r="AU41" i="13"/>
  <c r="AT41" i="13"/>
  <c r="AS41" i="13"/>
  <c r="AR41" i="13"/>
  <c r="I41" i="13"/>
  <c r="AQ41" i="13" s="1"/>
  <c r="AW39" i="13"/>
  <c r="AU39" i="13"/>
  <c r="AT39" i="13"/>
  <c r="AS39" i="13"/>
  <c r="AR39" i="13"/>
  <c r="I39" i="13"/>
  <c r="AQ39" i="13" s="1"/>
  <c r="AW35" i="13"/>
  <c r="AU35" i="13"/>
  <c r="AT35" i="13"/>
  <c r="AS35" i="13"/>
  <c r="AR35" i="13"/>
  <c r="I35" i="13"/>
  <c r="AQ35" i="13" s="1"/>
  <c r="AW32" i="13"/>
  <c r="AU32" i="13"/>
  <c r="AT32" i="13"/>
  <c r="AS32" i="13"/>
  <c r="AR32" i="13"/>
  <c r="I32" i="13"/>
  <c r="AQ32" i="13" s="1"/>
  <c r="AW30" i="13"/>
  <c r="AU30" i="13"/>
  <c r="AT30" i="13"/>
  <c r="AS30" i="13"/>
  <c r="AR30" i="13"/>
  <c r="I30" i="13"/>
  <c r="AQ30" i="13" s="1"/>
  <c r="AW27" i="13"/>
  <c r="AU27" i="13"/>
  <c r="AT27" i="13"/>
  <c r="AS27" i="13"/>
  <c r="AR27" i="13"/>
  <c r="I27" i="13"/>
  <c r="AQ27" i="13" s="1"/>
  <c r="AW25" i="13"/>
  <c r="AU25" i="13"/>
  <c r="AT25" i="13"/>
  <c r="AS25" i="13"/>
  <c r="AR25" i="13"/>
  <c r="I25" i="13"/>
  <c r="AQ25" i="13" s="1"/>
  <c r="AW23" i="13"/>
  <c r="AU23" i="13"/>
  <c r="AT23" i="13"/>
  <c r="AS23" i="13"/>
  <c r="AR23" i="13"/>
  <c r="I23" i="13"/>
  <c r="AQ23" i="13" s="1"/>
  <c r="AW21" i="13"/>
  <c r="AU21" i="13"/>
  <c r="AT21" i="13"/>
  <c r="AS21" i="13"/>
  <c r="AR21" i="13"/>
  <c r="I21" i="13"/>
  <c r="AQ21" i="13" s="1"/>
  <c r="AW19" i="13"/>
  <c r="AU19" i="13"/>
  <c r="AT19" i="13"/>
  <c r="AS19" i="13"/>
  <c r="AR19" i="13"/>
  <c r="I19" i="13"/>
  <c r="AQ19" i="13" s="1"/>
  <c r="AW17" i="13"/>
  <c r="AU17" i="13"/>
  <c r="AT17" i="13"/>
  <c r="AS17" i="13"/>
  <c r="AR17" i="13"/>
  <c r="I17" i="13"/>
  <c r="AQ17" i="13" s="1"/>
  <c r="AW7" i="13"/>
  <c r="AW6" i="13" s="1"/>
  <c r="I6" i="13" s="1"/>
  <c r="AU7" i="13"/>
  <c r="AT7" i="13"/>
  <c r="AS7" i="13"/>
  <c r="AR7" i="13"/>
  <c r="AQ7" i="13"/>
  <c r="I7" i="13"/>
  <c r="I9" i="12"/>
  <c r="I8" i="12" s="1"/>
  <c r="K9" i="12"/>
  <c r="K8" i="12" s="1"/>
  <c r="O9" i="12"/>
  <c r="O8" i="12" s="1"/>
  <c r="Q9" i="12"/>
  <c r="Q8" i="12" s="1"/>
  <c r="V9" i="12"/>
  <c r="V8" i="12" s="1"/>
  <c r="AE11" i="12"/>
  <c r="F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F39" i="1" l="1"/>
  <c r="F42" i="1" s="1"/>
  <c r="F40" i="1"/>
  <c r="AW34" i="13"/>
  <c r="I34" i="13" s="1"/>
  <c r="AW16" i="13"/>
  <c r="I16" i="13" s="1"/>
  <c r="G23" i="1" l="1"/>
  <c r="A23" i="1" s="1"/>
  <c r="AW5" i="13"/>
  <c r="AW4" i="13" s="1"/>
  <c r="I4" i="13" s="1"/>
  <c r="F9" i="12" s="1"/>
  <c r="G9" i="12" s="1"/>
  <c r="M9" i="12" l="1"/>
  <c r="M8" i="12" s="1"/>
  <c r="G8" i="12"/>
  <c r="AF11" i="12"/>
  <c r="I5" i="13"/>
  <c r="G24" i="1"/>
  <c r="A24" i="1"/>
  <c r="G41" i="1" l="1"/>
  <c r="H41" i="1" s="1"/>
  <c r="I41" i="1" s="1"/>
  <c r="G40" i="1"/>
  <c r="H40" i="1" s="1"/>
  <c r="I40" i="1" s="1"/>
  <c r="G39" i="1"/>
  <c r="I52" i="1"/>
  <c r="G11" i="12"/>
  <c r="I16" i="1" l="1"/>
  <c r="I21" i="1" s="1"/>
  <c r="I53" i="1"/>
  <c r="J52" i="1" s="1"/>
  <c r="J53" i="1" s="1"/>
  <c r="H39" i="1"/>
  <c r="H42" i="1" s="1"/>
  <c r="G42" i="1"/>
  <c r="I39" i="1" l="1"/>
  <c r="I42" i="1" s="1"/>
  <c r="G25" i="1"/>
  <c r="G28" i="1"/>
  <c r="J40" i="1"/>
  <c r="A25" i="1" l="1"/>
  <c r="J41" i="1"/>
  <c r="J39" i="1"/>
  <c r="J42" i="1" l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<sst xmlns="http://schemas.openxmlformats.org/spreadsheetml/2006/main" count="655" uniqueCount="228">
  <si>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</si>
  <si>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</si>
  <si>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</si>
  <si>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</si>
  <si>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</si>
  <si>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</si>
  <si>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</si>
  <si>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</si>
  <si>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</si>
  <si>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</si>
  <si>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</si>
  <si>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</si>
  <si>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</si>
  <si>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</si>
  <si>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</si>
  <si>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</si>
  <si>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</si>
  <si>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</si>
  <si>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</si>
  <si>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</si>
  <si>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</si>
  <si>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</si>
  <si>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</si>
  <si>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</si>
  <si>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</si>
  <si>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</si>
  <si>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</si>
  <si>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</si>
  <si>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</si>
  <si>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</si>
  <si>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</si>
  <si>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</si>
  <si>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</si>
  <si>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</si>
  <si>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</si>
  <si>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</si>
  <si>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</si>
  <si>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</si>
  <si>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</si>
  <si>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</si>
  <si>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</si>
  <si>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31</t>
  </si>
  <si>
    <t>Areálové komunikace a zpevněné plochy</t>
  </si>
  <si>
    <t>AREÁLOVÉ KOMUNIKACE A ZPEVNĚNÉ PLOCHY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</si>
  <si>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</si>
  <si>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</si>
  <si>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</si>
  <si>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</si>
  <si>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</si>
  <si>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</si>
  <si>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</si>
  <si>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31 - Rekonstrukce a rozvoj koupaliště Polanka</t>
  </si>
  <si>
    <t>#POPO</t>
  </si>
  <si>
    <t>Popis objektu: SO 31 - AREÁLOVÉ KOMUNIKACE A ZPEVNĚNÉ PLOCHY</t>
  </si>
  <si>
    <t>#POPR</t>
  </si>
  <si>
    <t>Popis rozpočtu: SO 31 - Areálové komunikace a zpevněné plochy</t>
  </si>
  <si>
    <t>Rekapitulace dílů</t>
  </si>
  <si>
    <t>Typ dílu</t>
  </si>
  <si>
    <t>5</t>
  </si>
  <si>
    <t>Komunikace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</si>
  <si>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</si>
  <si>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</si>
  <si>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</si>
  <si>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</si>
  <si>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</si>
  <si>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</si>
  <si>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</si>
  <si>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</si>
  <si>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</si>
  <si>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</si>
  <si>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</si>
  <si>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</si>
  <si>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</si>
  <si>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</si>
  <si>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</si>
  <si>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</si>
  <si>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</si>
  <si>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</si>
  <si>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</si>
  <si>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</si>
  <si>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</si>
  <si>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</si>
  <si>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</si>
  <si>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</si>
  <si>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</si>
  <si>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</si>
  <si>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</si>
  <si>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</si>
  <si>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</si>
  <si>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</si>
  <si>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</si>
  <si>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celkem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</si>
  <si>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</si>
  <si>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</si>
  <si>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</si>
  <si>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</si>
  <si>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</si>
  <si>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</si>
  <si>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</si>
  <si>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</si>
  <si>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</si>
  <si>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>plocha_nepoj</t>
  </si>
  <si>
    <t/>
  </si>
  <si>
    <t>2</t>
  </si>
  <si>
    <t>kačírek</t>
  </si>
  <si>
    <t>False</t>
  </si>
  <si>
    <t>plocha_poj</t>
  </si>
  <si>
    <t>obruba100x250</t>
  </si>
  <si>
    <t>obruba150x250</t>
  </si>
  <si>
    <t>obruba50x200</t>
  </si>
  <si>
    <t>obruba50x300</t>
  </si>
  <si>
    <t>rozšíření</t>
  </si>
  <si>
    <t>Cena celkem [CZK]</t>
  </si>
  <si>
    <t>-1</t>
  </si>
  <si>
    <t>SOUPIS PRACÍ</t>
  </si>
  <si>
    <t>PČ</t>
  </si>
  <si>
    <t>Typ</t>
  </si>
  <si>
    <t>Kód</t>
  </si>
  <si>
    <t>Popis</t>
  </si>
  <si>
    <t>J.cena [CZK]</t>
  </si>
  <si>
    <t>Náklady soupisu celkem</t>
  </si>
  <si>
    <t>D</t>
  </si>
  <si>
    <t>Práce a dodávky HSV</t>
  </si>
  <si>
    <t>0</t>
  </si>
  <si>
    <t>ROZPOCET</t>
  </si>
  <si>
    <t>Zemní práce</t>
  </si>
  <si>
    <t>K</t>
  </si>
  <si>
    <t>181152302</t>
  </si>
  <si>
    <t>Úprava pláně pro silnice a dálnice v zářezech se zhutněním</t>
  </si>
  <si>
    <t>m2</t>
  </si>
  <si>
    <t>4</t>
  </si>
  <si>
    <t>-994180040</t>
  </si>
  <si>
    <t>VV</t>
  </si>
  <si>
    <t>"všechny výměry odečteny z gigitální verze příloh 02 a 03. Platí pro celý Soupis prací."</t>
  </si>
  <si>
    <t>True</t>
  </si>
  <si>
    <t>"odvozné vzdálenosti jsou uvažovány pro potřbu kontrolního rozpočtu a budou oceněny dle potřeb zhotovitele beze změny Soupisu prací"</t>
  </si>
  <si>
    <t>"plocha pojížděná" 1880+57+369+261</t>
  </si>
  <si>
    <t xml:space="preserve">"plocha nepojížděná" </t>
  </si>
  <si>
    <t>"rozšíření" obruba150x250*0,3+obruba100x250*0,38</t>
  </si>
  <si>
    <t>"kačírek" 290</t>
  </si>
  <si>
    <t>Součet</t>
  </si>
  <si>
    <t>Komunikace pozemní</t>
  </si>
  <si>
    <t>564851111</t>
  </si>
  <si>
    <t>Podklad ze štěrkodrtě ŠD plochy přes 100 m2 tl 150 mm</t>
  </si>
  <si>
    <t>1240788694</t>
  </si>
  <si>
    <t>3</t>
  </si>
  <si>
    <t>564861111</t>
  </si>
  <si>
    <t>Podklad ze štěrkodrtě ŠD plochy přes 100 m2 tl 200 mm</t>
  </si>
  <si>
    <t>-1464919917</t>
  </si>
  <si>
    <t>plocha_nepoj+rozšíření</t>
  </si>
  <si>
    <t>564952111</t>
  </si>
  <si>
    <t>Podklad z mechanicky zpevněného kameniva MZK tl 150 mm</t>
  </si>
  <si>
    <t>-1419986463</t>
  </si>
  <si>
    <t>571908111</t>
  </si>
  <si>
    <t>Kryt vymývaným dekoračním kamenivem (kačírkem) tl 200 mm</t>
  </si>
  <si>
    <t>1810701926</t>
  </si>
  <si>
    <t>6</t>
  </si>
  <si>
    <t>596211113</t>
  </si>
  <si>
    <t>Kladení zámkové dlažby komunikací pro pěší ručně tl 60 mm skupiny A pl přes 300 m2</t>
  </si>
  <si>
    <t>1294962554</t>
  </si>
  <si>
    <t>7</t>
  </si>
  <si>
    <t>M</t>
  </si>
  <si>
    <t>59245018</t>
  </si>
  <si>
    <t>dlažba tvar obdélník betonová 200x100x60mm přírodní</t>
  </si>
  <si>
    <t>8</t>
  </si>
  <si>
    <t>-472191060</t>
  </si>
  <si>
    <t>plocha_nepoj*1,02</t>
  </si>
  <si>
    <t>596212212</t>
  </si>
  <si>
    <t>Kladení zámkové dlažby pozemních komunikací ručně tl 80 mm skupiny A pl přes 100 do 300 m2</t>
  </si>
  <si>
    <t>1442739462</t>
  </si>
  <si>
    <t>9</t>
  </si>
  <si>
    <t>59245020</t>
  </si>
  <si>
    <t>dlažba tvar obdélník betonová 200x100x80mm přírodní</t>
  </si>
  <si>
    <t>-1892154248</t>
  </si>
  <si>
    <t>plocha_poj*1,02</t>
  </si>
  <si>
    <t>Ostatní konstrukce a práce, bourání</t>
  </si>
  <si>
    <t>10</t>
  </si>
  <si>
    <t>916131213</t>
  </si>
  <si>
    <t>Osazení silničního obrubníku betonového stojatého s boční opěrou do lože z betonu prostého</t>
  </si>
  <si>
    <t>m</t>
  </si>
  <si>
    <t>-208628650</t>
  </si>
  <si>
    <t>98+41+260+162</t>
  </si>
  <si>
    <t>266+16</t>
  </si>
  <si>
    <t>11</t>
  </si>
  <si>
    <t>59217017</t>
  </si>
  <si>
    <t>obrubník betonový chodníkový 1000x100x250mm</t>
  </si>
  <si>
    <t>1536604802</t>
  </si>
  <si>
    <t>obruba100x250*1,01</t>
  </si>
  <si>
    <t>12</t>
  </si>
  <si>
    <t>59217031</t>
  </si>
  <si>
    <t>obrubník betonový silniční 1000x150x250mm</t>
  </si>
  <si>
    <t>132515503</t>
  </si>
  <si>
    <t>obruba150x250*1,01</t>
  </si>
  <si>
    <t>13</t>
  </si>
  <si>
    <t>916331112</t>
  </si>
  <si>
    <t>Osazení zahradního obrubníku betonového do lože z betonu s boční opěrou</t>
  </si>
  <si>
    <t>-1413331224</t>
  </si>
  <si>
    <t>5*2,3+2</t>
  </si>
  <si>
    <t>14</t>
  </si>
  <si>
    <t>59217002</t>
  </si>
  <si>
    <t>obrubník betonový zahradní šedý 1000x50x200mm</t>
  </si>
  <si>
    <t>-1759050408</t>
  </si>
  <si>
    <t>obruba50x200*1,01</t>
  </si>
  <si>
    <t>15</t>
  </si>
  <si>
    <t>592VP003</t>
  </si>
  <si>
    <t>obrubník betonový zahradní 500x50x300mm</t>
  </si>
  <si>
    <t>-790625013</t>
  </si>
  <si>
    <t>obruba50x300*1,05</t>
  </si>
  <si>
    <t>16</t>
  </si>
  <si>
    <t>916371214</t>
  </si>
  <si>
    <t>Osazení skrytého flexibilního zahradního obrubníku plastového zarytím včetně začištění</t>
  </si>
  <si>
    <t>949732240</t>
  </si>
  <si>
    <t>33+30+25</t>
  </si>
  <si>
    <t>17</t>
  </si>
  <si>
    <t>27245186</t>
  </si>
  <si>
    <t>obrubník zahradní z recyklovaného materiálu 25mx250mmx4mm</t>
  </si>
  <si>
    <t>-1854001375</t>
  </si>
  <si>
    <t>88*1,02</t>
  </si>
  <si>
    <t>VMS Projekt s.r.o.</t>
  </si>
  <si>
    <t>plocha_nepoj 3273,5-587</t>
  </si>
  <si>
    <t>2740,23*1,01 'Přepočtené koeficientem množství</t>
  </si>
  <si>
    <t>"kolem bazénů" 93,5+4,2*5+959-294+821+546-48+77+800-290</t>
  </si>
  <si>
    <t>12+192+380+240+57-520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</si>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</sst>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0"/>
    <numFmt numFmtId="166" formatCode="#,##0.000"/>
  </numFmts>
  <fonts count="2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10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2D2D2"/>
      </patternFill>
    </fill>
    <fill>
      <patternFill patternType="solid">
        <fgColor theme="4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1" fillId="0" borderId="15" xfId="0" applyNumberFormat="1" applyFont="1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" fontId="20" fillId="0" borderId="0" xfId="0" applyNumberFormat="1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2" fillId="0" borderId="48" xfId="0" applyFont="1" applyBorder="1" applyAlignment="1">
      <alignment horizontal="left"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47" xfId="0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3" fillId="5" borderId="49" xfId="0" applyFont="1" applyFill="1" applyBorder="1" applyAlignment="1">
      <alignment horizontal="center" vertical="center" wrapText="1"/>
    </xf>
    <xf numFmtId="0" fontId="17" fillId="0" borderId="48" xfId="0" applyFont="1" applyBorder="1" applyAlignment="1">
      <alignment horizontal="left" vertical="center"/>
    </xf>
    <xf numFmtId="4" fontId="17" fillId="0" borderId="49" xfId="0" applyNumberFormat="1" applyFont="1" applyBorder="1"/>
    <xf numFmtId="0" fontId="21" fillId="0" borderId="47" xfId="0" applyFont="1" applyBorder="1"/>
    <xf numFmtId="0" fontId="21" fillId="0" borderId="48" xfId="0" applyFont="1" applyBorder="1"/>
    <xf numFmtId="0" fontId="21" fillId="0" borderId="48" xfId="0" applyFont="1" applyBorder="1" applyAlignment="1">
      <alignment horizontal="left"/>
    </xf>
    <xf numFmtId="0" fontId="18" fillId="0" borderId="48" xfId="0" applyFont="1" applyBorder="1" applyAlignment="1">
      <alignment horizontal="left"/>
    </xf>
    <xf numFmtId="4" fontId="18" fillId="0" borderId="49" xfId="0" applyNumberFormat="1" applyFont="1" applyBorder="1"/>
    <xf numFmtId="0" fontId="19" fillId="0" borderId="48" xfId="0" applyFont="1" applyBorder="1" applyAlignment="1">
      <alignment horizontal="left"/>
    </xf>
    <xf numFmtId="4" fontId="19" fillId="0" borderId="49" xfId="0" applyNumberFormat="1" applyFont="1" applyBorder="1"/>
    <xf numFmtId="0" fontId="3" fillId="0" borderId="48" xfId="0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center" vertical="center" wrapText="1"/>
    </xf>
    <xf numFmtId="166" fontId="3" fillId="0" borderId="48" xfId="0" applyNumberFormat="1" applyFont="1" applyBorder="1" applyAlignment="1">
      <alignment vertical="center"/>
    </xf>
    <xf numFmtId="4" fontId="3" fillId="0" borderId="49" xfId="0" applyNumberFormat="1" applyFont="1" applyBorder="1" applyAlignment="1">
      <alignment vertical="center"/>
    </xf>
    <xf numFmtId="0" fontId="22" fillId="0" borderId="47" xfId="0" applyFont="1" applyBorder="1" applyAlignment="1">
      <alignment vertical="center"/>
    </xf>
    <xf numFmtId="0" fontId="22" fillId="0" borderId="48" xfId="0" applyFont="1" applyBorder="1" applyAlignment="1">
      <alignment vertical="center"/>
    </xf>
    <xf numFmtId="0" fontId="23" fillId="0" borderId="48" xfId="0" applyFont="1" applyBorder="1" applyAlignment="1">
      <alignment horizontal="left" vertical="center"/>
    </xf>
    <xf numFmtId="0" fontId="22" fillId="0" borderId="48" xfId="0" applyFont="1" applyBorder="1" applyAlignment="1">
      <alignment horizontal="left" vertical="center"/>
    </xf>
    <xf numFmtId="0" fontId="22" fillId="0" borderId="48" xfId="0" applyFont="1" applyBorder="1" applyAlignment="1">
      <alignment horizontal="left" vertical="center" wrapText="1"/>
    </xf>
    <xf numFmtId="0" fontId="22" fillId="0" borderId="49" xfId="0" applyFont="1" applyBorder="1" applyAlignment="1">
      <alignment vertical="center"/>
    </xf>
    <xf numFmtId="0" fontId="24" fillId="0" borderId="47" xfId="0" applyFont="1" applyBorder="1" applyAlignment="1">
      <alignment vertical="center"/>
    </xf>
    <xf numFmtId="0" fontId="24" fillId="0" borderId="48" xfId="0" applyFont="1" applyBorder="1" applyAlignment="1">
      <alignment vertical="center"/>
    </xf>
    <xf numFmtId="0" fontId="24" fillId="0" borderId="48" xfId="0" applyFont="1" applyBorder="1" applyAlignment="1">
      <alignment horizontal="left" vertical="center"/>
    </xf>
    <xf numFmtId="0" fontId="24" fillId="0" borderId="48" xfId="0" applyFont="1" applyBorder="1" applyAlignment="1">
      <alignment horizontal="left" vertical="center" wrapText="1"/>
    </xf>
    <xf numFmtId="166" fontId="24" fillId="0" borderId="48" xfId="0" applyNumberFormat="1" applyFont="1" applyBorder="1" applyAlignment="1">
      <alignment vertical="center"/>
    </xf>
    <xf numFmtId="0" fontId="24" fillId="0" borderId="49" xfId="0" applyFont="1" applyBorder="1" applyAlignment="1">
      <alignment vertical="center"/>
    </xf>
    <xf numFmtId="0" fontId="25" fillId="0" borderId="47" xfId="0" applyFont="1" applyBorder="1" applyAlignment="1">
      <alignment vertical="center"/>
    </xf>
    <xf numFmtId="0" fontId="25" fillId="0" borderId="48" xfId="0" applyFont="1" applyBorder="1" applyAlignment="1">
      <alignment vertical="center"/>
    </xf>
    <xf numFmtId="0" fontId="25" fillId="0" borderId="48" xfId="0" applyFont="1" applyBorder="1" applyAlignment="1">
      <alignment horizontal="left" vertical="center"/>
    </xf>
    <xf numFmtId="0" fontId="25" fillId="0" borderId="48" xfId="0" applyFont="1" applyBorder="1" applyAlignment="1">
      <alignment horizontal="left" vertical="center" wrapText="1"/>
    </xf>
    <xf numFmtId="166" fontId="25" fillId="0" borderId="48" xfId="0" applyNumberFormat="1" applyFont="1" applyBorder="1" applyAlignment="1">
      <alignment vertical="center"/>
    </xf>
    <xf numFmtId="0" fontId="25" fillId="0" borderId="49" xfId="0" applyFont="1" applyBorder="1" applyAlignment="1">
      <alignment vertical="center"/>
    </xf>
    <xf numFmtId="0" fontId="26" fillId="0" borderId="48" xfId="0" applyFont="1" applyBorder="1" applyAlignment="1">
      <alignment horizontal="center" vertical="center"/>
    </xf>
    <xf numFmtId="49" fontId="26" fillId="0" borderId="48" xfId="0" applyNumberFormat="1" applyFont="1" applyBorder="1" applyAlignment="1">
      <alignment horizontal="left" vertical="center" wrapText="1"/>
    </xf>
    <xf numFmtId="0" fontId="26" fillId="0" borderId="48" xfId="0" applyFont="1" applyBorder="1" applyAlignment="1">
      <alignment horizontal="left" vertical="center" wrapText="1"/>
    </xf>
    <xf numFmtId="0" fontId="26" fillId="0" borderId="48" xfId="0" applyFont="1" applyBorder="1" applyAlignment="1">
      <alignment horizontal="center" vertical="center" wrapText="1"/>
    </xf>
    <xf numFmtId="166" fontId="26" fillId="0" borderId="48" xfId="0" applyNumberFormat="1" applyFont="1" applyBorder="1" applyAlignment="1">
      <alignment vertical="center"/>
    </xf>
    <xf numFmtId="4" fontId="26" fillId="0" borderId="49" xfId="0" applyNumberFormat="1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4" fontId="16" fillId="3" borderId="42" xfId="0" applyNumberFormat="1" applyFont="1" applyFill="1" applyBorder="1" applyAlignment="1">
      <alignment vertical="top" shrinkToFi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3" fillId="6" borderId="48" xfId="0" applyNumberFormat="1" applyFont="1" applyFill="1" applyBorder="1" applyAlignment="1" applyProtection="1">
      <alignment vertical="center"/>
      <protection locked="0"/>
    </xf>
    <xf numFmtId="4" fontId="26" fillId="6" borderId="48" xfId="0" applyNumberFormat="1" applyFont="1" applyFill="1" applyBorder="1" applyAlignment="1" applyProtection="1">
      <alignment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7" fillId="0" borderId="0" xfId="2" applyFont="1" applyAlignment="1">
      <alignment horizont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C52" sqref="C52:E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9.28515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55" t="s">
        <v>4</v>
      </c>
      <c r="C1" s="256"/>
      <c r="D1" s="256"/>
      <c r="E1" s="256"/>
      <c r="F1" s="256"/>
      <c r="G1" s="256"/>
      <c r="H1" s="256"/>
      <c r="I1" s="256"/>
      <c r="J1" s="257"/>
    </row>
    <row r="2" spans="1:15" ht="36" customHeight="1" x14ac:dyDescent="0.2">
      <c r="A2" s="2"/>
      <c r="B2" s="76" t="s">
        <v>24</v>
      </c>
      <c r="C2" s="77"/>
      <c r="D2" s="78" t="s">
        <v>41</v>
      </c>
      <c r="E2" s="263" t="s">
        <v>46</v>
      </c>
      <c r="F2" s="264"/>
      <c r="G2" s="264"/>
      <c r="H2" s="264"/>
      <c r="I2" s="264"/>
      <c r="J2" s="265"/>
      <c r="O2" s="1"/>
    </row>
    <row r="3" spans="1:15" ht="27" customHeight="1" x14ac:dyDescent="0.2">
      <c r="A3" s="2"/>
      <c r="B3" s="79" t="s">
        <v>44</v>
      </c>
      <c r="C3" s="77"/>
      <c r="D3" s="80" t="s">
        <v>41</v>
      </c>
      <c r="E3" s="266" t="s">
        <v>43</v>
      </c>
      <c r="F3" s="267"/>
      <c r="G3" s="267"/>
      <c r="H3" s="267"/>
      <c r="I3" s="267"/>
      <c r="J3" s="268"/>
    </row>
    <row r="4" spans="1:15" ht="23.25" customHeight="1" x14ac:dyDescent="0.2">
      <c r="A4" s="75">
        <v>1180</v>
      </c>
      <c r="B4" s="81" t="s">
        <v>45</v>
      </c>
      <c r="C4" s="82"/>
      <c r="D4" s="83" t="s">
        <v>41</v>
      </c>
      <c r="E4" s="276" t="s">
        <v>42</v>
      </c>
      <c r="F4" s="277"/>
      <c r="G4" s="277"/>
      <c r="H4" s="277"/>
      <c r="I4" s="277"/>
      <c r="J4" s="278"/>
    </row>
    <row r="5" spans="1:15" ht="24" customHeight="1" x14ac:dyDescent="0.2">
      <c r="A5" s="2"/>
      <c r="B5" s="31" t="s">
        <v>23</v>
      </c>
      <c r="D5" s="281"/>
      <c r="E5" s="282"/>
      <c r="F5" s="282"/>
      <c r="G5" s="28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83"/>
      <c r="E6" s="284"/>
      <c r="F6" s="284"/>
      <c r="G6" s="28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85"/>
      <c r="F7" s="286"/>
      <c r="G7" s="28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70"/>
      <c r="E11" s="270"/>
      <c r="F11" s="270"/>
      <c r="G11" s="270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75"/>
      <c r="E12" s="275"/>
      <c r="F12" s="275"/>
      <c r="G12" s="275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79"/>
      <c r="F13" s="280"/>
      <c r="G13" s="28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87" t="s">
        <v>218</v>
      </c>
      <c r="E14" s="288"/>
      <c r="F14" s="288"/>
      <c r="G14" s="288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69"/>
      <c r="F15" s="269"/>
      <c r="G15" s="271"/>
      <c r="H15" s="271"/>
      <c r="I15" s="271" t="s">
        <v>31</v>
      </c>
      <c r="J15" s="272"/>
    </row>
    <row r="16" spans="1:15" ht="23.25" customHeight="1" x14ac:dyDescent="0.2">
      <c r="A16" s="138" t="s">
        <v>26</v>
      </c>
      <c r="B16" s="38" t="s">
        <v>26</v>
      </c>
      <c r="C16" s="60"/>
      <c r="D16" s="61"/>
      <c r="E16" s="261"/>
      <c r="F16" s="262"/>
      <c r="G16" s="261"/>
      <c r="H16" s="262"/>
      <c r="I16" s="176">
        <f>SUMIF(F52:F52,A16,I52:I52)+SUMIF(F52:F52,"PSU",I52:I52)</f>
        <v>0</v>
      </c>
      <c r="J16" s="177"/>
    </row>
    <row r="17" spans="1:10" ht="23.25" customHeight="1" x14ac:dyDescent="0.2">
      <c r="A17" s="138" t="s">
        <v>27</v>
      </c>
      <c r="B17" s="38" t="s">
        <v>27</v>
      </c>
      <c r="C17" s="60"/>
      <c r="D17" s="61"/>
      <c r="E17" s="261"/>
      <c r="F17" s="262"/>
      <c r="G17" s="261"/>
      <c r="H17" s="262"/>
      <c r="I17" s="176">
        <f>SUMIF(F52:F52,A17,I52:I52)</f>
        <v>0</v>
      </c>
      <c r="J17" s="177"/>
    </row>
    <row r="18" spans="1:10" ht="23.25" customHeight="1" x14ac:dyDescent="0.2">
      <c r="A18" s="138" t="s">
        <v>28</v>
      </c>
      <c r="B18" s="38" t="s">
        <v>28</v>
      </c>
      <c r="C18" s="60"/>
      <c r="D18" s="61"/>
      <c r="E18" s="261"/>
      <c r="F18" s="262"/>
      <c r="G18" s="261"/>
      <c r="H18" s="262"/>
      <c r="I18" s="176">
        <f>SUMIF(F52:F52,A18,I52:I52)</f>
        <v>0</v>
      </c>
      <c r="J18" s="177"/>
    </row>
    <row r="19" spans="1:10" ht="23.25" customHeight="1" x14ac:dyDescent="0.2">
      <c r="A19" s="138" t="s">
        <v>60</v>
      </c>
      <c r="B19" s="38" t="s">
        <v>29</v>
      </c>
      <c r="C19" s="60"/>
      <c r="D19" s="61"/>
      <c r="E19" s="261"/>
      <c r="F19" s="262"/>
      <c r="G19" s="261"/>
      <c r="H19" s="262"/>
      <c r="I19" s="176">
        <f>SUMIF(F52:F52,A19,I52:I52)</f>
        <v>0</v>
      </c>
      <c r="J19" s="177"/>
    </row>
    <row r="20" spans="1:10" ht="23.25" customHeight="1" x14ac:dyDescent="0.2">
      <c r="A20" s="138" t="s">
        <v>61</v>
      </c>
      <c r="B20" s="38" t="s">
        <v>30</v>
      </c>
      <c r="C20" s="60"/>
      <c r="D20" s="61"/>
      <c r="E20" s="261"/>
      <c r="F20" s="262"/>
      <c r="G20" s="261"/>
      <c r="H20" s="262"/>
      <c r="I20" s="176">
        <f>SUMIF(F52:F52,A20,I52:I52)</f>
        <v>0</v>
      </c>
      <c r="J20" s="177"/>
    </row>
    <row r="21" spans="1:10" ht="23.25" customHeight="1" x14ac:dyDescent="0.2">
      <c r="A21" s="2"/>
      <c r="B21" s="48" t="s">
        <v>31</v>
      </c>
      <c r="C21" s="62"/>
      <c r="D21" s="63"/>
      <c r="E21" s="273"/>
      <c r="F21" s="274"/>
      <c r="G21" s="273"/>
      <c r="H21" s="274"/>
      <c r="I21" s="74">
        <f>SUM(I16:J20)</f>
        <v>0</v>
      </c>
      <c r="J21" s="178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92">
        <f>ZakladDPHSniVypocet</f>
        <v>0</v>
      </c>
      <c r="H23" s="293"/>
      <c r="I23" s="29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90">
        <f>A23</f>
        <v>0</v>
      </c>
      <c r="H24" s="291"/>
      <c r="I24" s="29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92">
        <f>ZakladDPHZaklVypocet</f>
        <v>0</v>
      </c>
      <c r="H25" s="293"/>
      <c r="I25" s="29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58">
        <f>A25</f>
        <v>0</v>
      </c>
      <c r="H26" s="259"/>
      <c r="I26" s="25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60">
        <f>CenaCelkem-(ZakladDPHSni+DPHSni+ZakladDPHZakl+DPHZakl)</f>
        <v>0</v>
      </c>
      <c r="H27" s="260"/>
      <c r="I27" s="260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94">
        <f>ZakladDPHSniVypocet+ZakladDPHZaklVypocet</f>
        <v>0</v>
      </c>
      <c r="H28" s="295"/>
      <c r="I28" s="295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94">
        <f>A27</f>
        <v>0</v>
      </c>
      <c r="H29" s="294"/>
      <c r="I29" s="294"/>
      <c r="J29" s="118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96"/>
      <c r="E34" s="297"/>
      <c r="G34" s="298"/>
      <c r="H34" s="299"/>
      <c r="I34" s="299"/>
      <c r="J34" s="25"/>
    </row>
    <row r="35" spans="1:10" ht="12.75" customHeight="1" x14ac:dyDescent="0.2">
      <c r="A35" s="2"/>
      <c r="B35" s="2"/>
      <c r="D35" s="289" t="s">
        <v>2</v>
      </c>
      <c r="E35" s="289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47</v>
      </c>
      <c r="C39" s="301"/>
      <c r="D39" s="301"/>
      <c r="E39" s="301"/>
      <c r="F39" s="98">
        <f>'SO 31 Rekapitulace'!AE11</f>
        <v>0</v>
      </c>
      <c r="G39" s="99">
        <f>'SO 31 Rekapitulace'!AF11</f>
        <v>0</v>
      </c>
      <c r="H39" s="100">
        <f>(F39*SazbaDPH1/100)+(G39*SazbaDPH2/100)</f>
        <v>0</v>
      </c>
      <c r="I39" s="100">
        <f>F39+G39+H39</f>
        <v>0</v>
      </c>
      <c r="J39" s="101" t="e">
        <f ca="1">IF(_xlfn.SINGLE(CenaCelkemVypocet)=0,"",I39/_xlfn.SINGLE(CenaCelkemVypocet)*100)</f>
        <v>#NAME?</v>
      </c>
    </row>
    <row r="40" spans="1:10" ht="25.5" hidden="1" customHeight="1" x14ac:dyDescent="0.2">
      <c r="A40" s="87">
        <v>2</v>
      </c>
      <c r="B40" s="102" t="s">
        <v>41</v>
      </c>
      <c r="C40" s="302" t="s">
        <v>43</v>
      </c>
      <c r="D40" s="302"/>
      <c r="E40" s="302"/>
      <c r="F40" s="103">
        <f>'SO 31 Rekapitulace'!AE11</f>
        <v>0</v>
      </c>
      <c r="G40" s="104">
        <f>'SO 31 Rekapitulace'!AF11</f>
        <v>0</v>
      </c>
      <c r="H40" s="104">
        <f>(F40*SazbaDPH1/100)+(G40*SazbaDPH2/100)</f>
        <v>0</v>
      </c>
      <c r="I40" s="104">
        <f>F40+G40+H40</f>
        <v>0</v>
      </c>
      <c r="J40" s="105" t="e">
        <f ca="1">IF(_xlfn.SINGLE(CenaCelkemVypocet)=0,"",I40/_xlfn.SINGLE(CenaCelkemVypocet)*100)</f>
        <v>#NAME?</v>
      </c>
    </row>
    <row r="41" spans="1:10" ht="25.5" hidden="1" customHeight="1" x14ac:dyDescent="0.2">
      <c r="A41" s="87">
        <v>3</v>
      </c>
      <c r="B41" s="106" t="s">
        <v>41</v>
      </c>
      <c r="C41" s="301" t="s">
        <v>42</v>
      </c>
      <c r="D41" s="301"/>
      <c r="E41" s="301"/>
      <c r="F41" s="107">
        <f>'SO 31 Rekapitulace'!AE11</f>
        <v>0</v>
      </c>
      <c r="G41" s="100">
        <f>'SO 31 Rekapitulace'!AF11</f>
        <v>0</v>
      </c>
      <c r="H41" s="100">
        <f>(F41*SazbaDPH1/100)+(G41*SazbaDPH2/100)</f>
        <v>0</v>
      </c>
      <c r="I41" s="100">
        <f>F41+G41+H41</f>
        <v>0</v>
      </c>
      <c r="J41" s="101" t="e">
        <f ca="1">IF(_xlfn.SINGLE(CenaCelkemVypocet)=0,"",I41/_xlfn.SINGLE(CenaCelkemVypocet)*100)</f>
        <v>#NAME?</v>
      </c>
    </row>
    <row r="42" spans="1:10" ht="25.5" hidden="1" customHeight="1" x14ac:dyDescent="0.2">
      <c r="A42" s="87"/>
      <c r="B42" s="303" t="s">
        <v>48</v>
      </c>
      <c r="C42" s="304"/>
      <c r="D42" s="304"/>
      <c r="E42" s="305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 t="e">
        <f ca="1">SUMIF(A39:A41,"=1",J39:J41)</f>
        <v>#NAME?</v>
      </c>
    </row>
    <row r="44" spans="1:10" x14ac:dyDescent="0.2">
      <c r="A44" t="s">
        <v>50</v>
      </c>
      <c r="B44" t="s">
        <v>51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</row>
    <row r="49" spans="1:10" ht="15.75" x14ac:dyDescent="0.25">
      <c r="B49" s="119" t="s">
        <v>56</v>
      </c>
    </row>
    <row r="51" spans="1:10" ht="25.5" customHeight="1" x14ac:dyDescent="0.2">
      <c r="A51" s="121"/>
      <c r="B51" s="124" t="s">
        <v>18</v>
      </c>
      <c r="C51" s="124" t="s">
        <v>6</v>
      </c>
      <c r="D51" s="125"/>
      <c r="E51" s="125"/>
      <c r="F51" s="126" t="s">
        <v>57</v>
      </c>
      <c r="G51" s="126"/>
      <c r="H51" s="126"/>
      <c r="I51" s="126" t="s">
        <v>31</v>
      </c>
      <c r="J51" s="126" t="s">
        <v>0</v>
      </c>
    </row>
    <row r="52" spans="1:10" ht="36.75" customHeight="1" x14ac:dyDescent="0.2">
      <c r="A52" s="122"/>
      <c r="B52" s="127" t="s">
        <v>58</v>
      </c>
      <c r="C52" s="306" t="s">
        <v>59</v>
      </c>
      <c r="D52" s="307"/>
      <c r="E52" s="307"/>
      <c r="F52" s="136" t="s">
        <v>26</v>
      </c>
      <c r="G52" s="128"/>
      <c r="H52" s="128"/>
      <c r="I52" s="128">
        <f>'SO 31 Rekapitulace'!G8</f>
        <v>0</v>
      </c>
      <c r="J52" s="133" t="str">
        <f>IF(I53=0,"",I52/I53*100)</f>
        <v/>
      </c>
    </row>
    <row r="53" spans="1:10" ht="25.5" customHeight="1" x14ac:dyDescent="0.2">
      <c r="A53" s="123"/>
      <c r="B53" s="129" t="s">
        <v>1</v>
      </c>
      <c r="C53" s="130"/>
      <c r="D53" s="131"/>
      <c r="E53" s="131"/>
      <c r="F53" s="137"/>
      <c r="G53" s="132"/>
      <c r="H53" s="132"/>
      <c r="I53" s="132">
        <f>I52</f>
        <v>0</v>
      </c>
      <c r="J53" s="134" t="str">
        <f>J52</f>
        <v/>
      </c>
    </row>
    <row r="54" spans="1:10" x14ac:dyDescent="0.2">
      <c r="F54" s="86"/>
      <c r="G54" s="86"/>
      <c r="H54" s="86"/>
      <c r="I54" s="86"/>
      <c r="J54" s="135"/>
    </row>
    <row r="55" spans="1:10" x14ac:dyDescent="0.2">
      <c r="B55" s="247" t="s">
        <v>223</v>
      </c>
      <c r="C55" s="248"/>
      <c r="D55" s="249"/>
      <c r="E55" s="250"/>
      <c r="F55" s="247"/>
      <c r="G55" s="251"/>
      <c r="H55" s="251"/>
      <c r="I55" s="251"/>
      <c r="J55" s="252"/>
    </row>
    <row r="56" spans="1:10" x14ac:dyDescent="0.2">
      <c r="B56" s="308" t="s">
        <v>226</v>
      </c>
      <c r="C56" s="308"/>
      <c r="D56" s="308"/>
      <c r="E56" s="308"/>
      <c r="F56" s="308"/>
      <c r="G56" s="308"/>
      <c r="H56" s="308"/>
      <c r="I56" s="308"/>
      <c r="J56" s="308"/>
    </row>
    <row r="57" spans="1:10" x14ac:dyDescent="0.2">
      <c r="B57" s="300" t="s">
        <v>227</v>
      </c>
      <c r="C57" s="300"/>
      <c r="D57" s="300"/>
      <c r="E57" s="300"/>
      <c r="F57" s="300"/>
      <c r="G57" s="300"/>
      <c r="H57" s="300"/>
      <c r="I57" s="300"/>
      <c r="J57" s="300"/>
    </row>
    <row r="58" spans="1:10" x14ac:dyDescent="0.2">
      <c r="B58" s="300" t="s">
        <v>224</v>
      </c>
      <c r="C58" s="300"/>
      <c r="D58" s="300"/>
      <c r="E58" s="300"/>
      <c r="F58" s="300"/>
      <c r="G58" s="300"/>
      <c r="H58" s="300"/>
      <c r="I58" s="300"/>
      <c r="J58" s="300"/>
    </row>
    <row r="59" spans="1:10" x14ac:dyDescent="0.2">
      <c r="B59" s="300" t="s">
        <v>225</v>
      </c>
      <c r="C59" s="300"/>
      <c r="D59" s="300"/>
      <c r="E59" s="300"/>
      <c r="F59" s="300"/>
      <c r="G59" s="300"/>
      <c r="H59" s="300"/>
      <c r="I59" s="300"/>
      <c r="J59" s="300"/>
    </row>
  </sheetData>
  <sheetProtection algorithmName="SHA-512" hashValue="OD4FEuRRIyqHchS3wvRXqouy0Y6KvQLMj6NgTgJzWQiSyapNbE17daDFoezS4bcRQFs+Nhku4DbAPoAegsLGsw==" saltValue="3WDjXbViWTokPLPdKCc3c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57:J57"/>
    <mergeCell ref="B58:J58"/>
    <mergeCell ref="B59:J59"/>
    <mergeCell ref="C39:E39"/>
    <mergeCell ref="C40:E40"/>
    <mergeCell ref="C41:E41"/>
    <mergeCell ref="B42:E42"/>
    <mergeCell ref="C52:E52"/>
    <mergeCell ref="B56:J56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16:H16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I15:J15"/>
    <mergeCell ref="E21:F21"/>
    <mergeCell ref="G21:H21"/>
    <mergeCell ref="E17:F17"/>
    <mergeCell ref="D12:G12"/>
    <mergeCell ref="E4:J4"/>
  </mergeCells>
  <phoneticPr fontId="0" type="noConversion"/>
  <pageMargins left="0.39370078740157483" right="0.19685039370078741" top="0.59055118110236227" bottom="0.39370078740157483" header="0" footer="0.19685039370078741"/>
  <pageSetup paperSize="9" scale="94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09" t="s">
        <v>7</v>
      </c>
      <c r="B1" s="309"/>
      <c r="C1" s="310"/>
      <c r="D1" s="309"/>
      <c r="E1" s="309"/>
      <c r="F1" s="309"/>
      <c r="G1" s="309"/>
    </row>
    <row r="2" spans="1:7" ht="24.95" customHeight="1" x14ac:dyDescent="0.2">
      <c r="A2" s="50" t="s">
        <v>8</v>
      </c>
      <c r="B2" s="49"/>
      <c r="C2" s="311"/>
      <c r="D2" s="311"/>
      <c r="E2" s="311"/>
      <c r="F2" s="311"/>
      <c r="G2" s="312"/>
    </row>
    <row r="3" spans="1:7" ht="24.95" customHeight="1" x14ac:dyDescent="0.2">
      <c r="A3" s="50" t="s">
        <v>9</v>
      </c>
      <c r="B3" s="49"/>
      <c r="C3" s="311"/>
      <c r="D3" s="311"/>
      <c r="E3" s="311"/>
      <c r="F3" s="311"/>
      <c r="G3" s="312"/>
    </row>
    <row r="4" spans="1:7" ht="24.95" customHeight="1" x14ac:dyDescent="0.2">
      <c r="A4" s="50" t="s">
        <v>10</v>
      </c>
      <c r="B4" s="49"/>
      <c r="C4" s="311"/>
      <c r="D4" s="311"/>
      <c r="E4" s="311"/>
      <c r="F4" s="311"/>
      <c r="G4" s="31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9" sqref="C9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25" t="s">
        <v>7</v>
      </c>
      <c r="B1" s="325"/>
      <c r="C1" s="325"/>
      <c r="D1" s="325"/>
      <c r="E1" s="325"/>
      <c r="F1" s="325"/>
      <c r="G1" s="325"/>
      <c r="AG1" t="s">
        <v>62</v>
      </c>
    </row>
    <row r="2" spans="1:60" ht="25.15" customHeight="1" x14ac:dyDescent="0.2">
      <c r="A2" s="139" t="s">
        <v>8</v>
      </c>
      <c r="B2" s="49" t="s">
        <v>41</v>
      </c>
      <c r="C2" s="326" t="s">
        <v>46</v>
      </c>
      <c r="D2" s="327"/>
      <c r="E2" s="327"/>
      <c r="F2" s="327"/>
      <c r="G2" s="328"/>
      <c r="AG2" t="s">
        <v>63</v>
      </c>
    </row>
    <row r="3" spans="1:60" ht="25.15" customHeight="1" x14ac:dyDescent="0.2">
      <c r="A3" s="139" t="s">
        <v>9</v>
      </c>
      <c r="B3" s="49" t="s">
        <v>41</v>
      </c>
      <c r="C3" s="326" t="s">
        <v>43</v>
      </c>
      <c r="D3" s="327"/>
      <c r="E3" s="327"/>
      <c r="F3" s="327"/>
      <c r="G3" s="328"/>
      <c r="AC3" s="120" t="s">
        <v>63</v>
      </c>
      <c r="AG3" t="s">
        <v>64</v>
      </c>
    </row>
    <row r="4" spans="1:60" ht="25.15" customHeight="1" x14ac:dyDescent="0.2">
      <c r="A4" s="140" t="s">
        <v>10</v>
      </c>
      <c r="B4" s="141" t="s">
        <v>41</v>
      </c>
      <c r="C4" s="329" t="s">
        <v>42</v>
      </c>
      <c r="D4" s="330"/>
      <c r="E4" s="330"/>
      <c r="F4" s="330"/>
      <c r="G4" s="331"/>
      <c r="AG4" t="s">
        <v>65</v>
      </c>
    </row>
    <row r="5" spans="1:60" x14ac:dyDescent="0.2">
      <c r="D5" s="10"/>
    </row>
    <row r="6" spans="1:60" ht="38.25" x14ac:dyDescent="0.2">
      <c r="A6" s="143" t="s">
        <v>66</v>
      </c>
      <c r="B6" s="145" t="s">
        <v>67</v>
      </c>
      <c r="C6" s="145" t="s">
        <v>68</v>
      </c>
      <c r="D6" s="144" t="s">
        <v>69</v>
      </c>
      <c r="E6" s="143" t="s">
        <v>70</v>
      </c>
      <c r="F6" s="142" t="s">
        <v>71</v>
      </c>
      <c r="G6" s="143" t="s">
        <v>31</v>
      </c>
      <c r="H6" s="146" t="s">
        <v>32</v>
      </c>
      <c r="I6" s="146" t="s">
        <v>72</v>
      </c>
      <c r="J6" s="146" t="s">
        <v>33</v>
      </c>
      <c r="K6" s="146" t="s">
        <v>73</v>
      </c>
      <c r="L6" s="146" t="s">
        <v>74</v>
      </c>
      <c r="M6" s="146" t="s">
        <v>75</v>
      </c>
      <c r="N6" s="146" t="s">
        <v>76</v>
      </c>
      <c r="O6" s="146" t="s">
        <v>77</v>
      </c>
      <c r="P6" s="146" t="s">
        <v>78</v>
      </c>
      <c r="Q6" s="146" t="s">
        <v>79</v>
      </c>
      <c r="R6" s="146" t="s">
        <v>80</v>
      </c>
      <c r="S6" s="146" t="s">
        <v>81</v>
      </c>
      <c r="T6" s="146" t="s">
        <v>82</v>
      </c>
      <c r="U6" s="146" t="s">
        <v>83</v>
      </c>
      <c r="V6" s="146" t="s">
        <v>84</v>
      </c>
      <c r="W6" s="146" t="s">
        <v>85</v>
      </c>
      <c r="X6" s="146" t="s">
        <v>86</v>
      </c>
      <c r="Y6" s="146" t="s">
        <v>87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88</v>
      </c>
      <c r="B8" s="160" t="s">
        <v>58</v>
      </c>
      <c r="C8" s="171" t="s">
        <v>59</v>
      </c>
      <c r="D8" s="161"/>
      <c r="E8" s="162"/>
      <c r="F8" s="163"/>
      <c r="G8" s="164">
        <f>SUMIF(AG9:AG9,"&lt;&gt;NOR",G9:G9)</f>
        <v>0</v>
      </c>
      <c r="H8" s="158"/>
      <c r="I8" s="158">
        <f>SUM(I9:I9)</f>
        <v>0</v>
      </c>
      <c r="J8" s="158"/>
      <c r="K8" s="158">
        <f>SUM(K9:K9)</f>
        <v>10724686.32</v>
      </c>
      <c r="L8" s="158"/>
      <c r="M8" s="158">
        <f>SUM(M9:M9)</f>
        <v>0</v>
      </c>
      <c r="N8" s="157"/>
      <c r="O8" s="157">
        <f>SUM(O9:O9)</f>
        <v>0</v>
      </c>
      <c r="P8" s="157"/>
      <c r="Q8" s="157">
        <f>SUM(Q9:Q9)</f>
        <v>0</v>
      </c>
      <c r="R8" s="158"/>
      <c r="S8" s="158"/>
      <c r="T8" s="158"/>
      <c r="U8" s="158"/>
      <c r="V8" s="158">
        <f>SUM(V9:V9)</f>
        <v>0</v>
      </c>
      <c r="W8" s="158"/>
      <c r="X8" s="158"/>
      <c r="Y8" s="158"/>
      <c r="AG8" t="s">
        <v>89</v>
      </c>
    </row>
    <row r="9" spans="1:60" outlineLevel="1" x14ac:dyDescent="0.2">
      <c r="A9" s="166">
        <v>1</v>
      </c>
      <c r="B9" s="167" t="s">
        <v>90</v>
      </c>
      <c r="C9" s="172" t="s">
        <v>42</v>
      </c>
      <c r="D9" s="168" t="s">
        <v>91</v>
      </c>
      <c r="E9" s="169">
        <v>1</v>
      </c>
      <c r="F9" s="246">
        <f>'SO 31 Rozpočet'!I4</f>
        <v>0</v>
      </c>
      <c r="G9" s="170">
        <f>ROUND(E9*F9,2)</f>
        <v>0</v>
      </c>
      <c r="H9" s="156">
        <v>0</v>
      </c>
      <c r="I9" s="155">
        <f>ROUND(E9*H9,2)</f>
        <v>0</v>
      </c>
      <c r="J9" s="156">
        <v>10724686.32</v>
      </c>
      <c r="K9" s="155">
        <f>ROUND(E9*J9,2)</f>
        <v>10724686.32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92</v>
      </c>
      <c r="T9" s="155" t="s">
        <v>93</v>
      </c>
      <c r="U9" s="155">
        <v>0</v>
      </c>
      <c r="V9" s="155">
        <f>ROUND(E9*U9,2)</f>
        <v>0</v>
      </c>
      <c r="W9" s="155"/>
      <c r="X9" s="155" t="s">
        <v>94</v>
      </c>
      <c r="Y9" s="155" t="s">
        <v>95</v>
      </c>
      <c r="Z9" s="147"/>
      <c r="AA9" s="147"/>
      <c r="AB9" s="147"/>
      <c r="AC9" s="147"/>
      <c r="AD9" s="147"/>
      <c r="AE9" s="147"/>
      <c r="AF9" s="147"/>
      <c r="AG9" s="147" t="s">
        <v>96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">
      <c r="A10" s="3"/>
      <c r="B10" s="4"/>
      <c r="C10" s="173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74</v>
      </c>
    </row>
    <row r="11" spans="1:60" x14ac:dyDescent="0.2">
      <c r="A11" s="150"/>
      <c r="B11" s="151" t="s">
        <v>31</v>
      </c>
      <c r="C11" s="174"/>
      <c r="D11" s="152"/>
      <c r="E11" s="153"/>
      <c r="F11" s="153"/>
      <c r="G11" s="165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97</v>
      </c>
    </row>
    <row r="12" spans="1:60" x14ac:dyDescent="0.2">
      <c r="A12" s="3"/>
      <c r="B12" s="4"/>
      <c r="C12" s="173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3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332" t="s">
        <v>98</v>
      </c>
      <c r="B14" s="332"/>
      <c r="C14" s="333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313"/>
      <c r="B15" s="314"/>
      <c r="C15" s="315"/>
      <c r="D15" s="314"/>
      <c r="E15" s="314"/>
      <c r="F15" s="314"/>
      <c r="G15" s="31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99</v>
      </c>
    </row>
    <row r="16" spans="1:60" x14ac:dyDescent="0.2">
      <c r="A16" s="317"/>
      <c r="B16" s="318"/>
      <c r="C16" s="319"/>
      <c r="D16" s="318"/>
      <c r="E16" s="318"/>
      <c r="F16" s="318"/>
      <c r="G16" s="320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317"/>
      <c r="B17" s="318"/>
      <c r="C17" s="319"/>
      <c r="D17" s="318"/>
      <c r="E17" s="318"/>
      <c r="F17" s="318"/>
      <c r="G17" s="32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317"/>
      <c r="B18" s="318"/>
      <c r="C18" s="319"/>
      <c r="D18" s="318"/>
      <c r="E18" s="318"/>
      <c r="F18" s="318"/>
      <c r="G18" s="32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321"/>
      <c r="B19" s="322"/>
      <c r="C19" s="323"/>
      <c r="D19" s="322"/>
      <c r="E19" s="322"/>
      <c r="F19" s="322"/>
      <c r="G19" s="32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3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5"/>
      <c r="D21" s="10"/>
      <c r="AG21" t="s">
        <v>100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yX0ZyHfKYHOtjurC6yW7pjt9LPOsdYnUP8i5rHsChklIltl3E1hkgfNRiRI7lNSH7DltGfTDOPyW0BJkQdh3Q==" saltValue="wKApwub/8/vCOjnxsS5a8Q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5"/>
  <sheetViews>
    <sheetView zoomScaleNormal="100" workbookViewId="0">
      <selection activeCell="E23" sqref="E23"/>
    </sheetView>
  </sheetViews>
  <sheetFormatPr defaultRowHeight="12.75" x14ac:dyDescent="0.2"/>
  <cols>
    <col min="1" max="1" width="0.85546875" customWidth="1"/>
    <col min="2" max="3" width="3.28515625" customWidth="1"/>
    <col min="4" max="4" width="13.28515625" customWidth="1"/>
    <col min="5" max="5" width="39.5703125" customWidth="1"/>
    <col min="6" max="6" width="5.7109375" customWidth="1"/>
    <col min="7" max="7" width="10.85546875" customWidth="1"/>
    <col min="8" max="8" width="12.28515625" customWidth="1"/>
    <col min="9" max="9" width="17.28515625" customWidth="1"/>
    <col min="10" max="10" width="9.5703125" customWidth="1"/>
    <col min="11" max="11" width="11.7109375" customWidth="1"/>
    <col min="12" max="12" width="8.5703125" customWidth="1"/>
    <col min="13" max="13" width="11.7109375" customWidth="1"/>
    <col min="14" max="14" width="12.7109375" customWidth="1"/>
    <col min="15" max="15" width="8.5703125" customWidth="1"/>
    <col min="16" max="16" width="11.7109375" customWidth="1"/>
    <col min="17" max="17" width="12.7109375" customWidth="1"/>
    <col min="30" max="51" width="0" hidden="1" customWidth="1"/>
  </cols>
  <sheetData>
    <row r="1" spans="1:51" s="180" customFormat="1" ht="6.95" customHeight="1" x14ac:dyDescent="0.2">
      <c r="A1" s="194"/>
      <c r="B1" s="195"/>
      <c r="C1" s="195"/>
      <c r="D1" s="195"/>
      <c r="E1" s="195"/>
      <c r="F1" s="195"/>
      <c r="G1" s="195"/>
      <c r="H1" s="195"/>
      <c r="I1" s="196"/>
    </row>
    <row r="2" spans="1:51" s="180" customFormat="1" ht="24.95" customHeight="1" x14ac:dyDescent="0.2">
      <c r="A2" s="197"/>
      <c r="B2" s="198" t="s">
        <v>114</v>
      </c>
      <c r="C2" s="199"/>
      <c r="D2" s="199"/>
      <c r="E2" s="199"/>
      <c r="F2" s="199"/>
      <c r="G2" s="199"/>
      <c r="H2" s="199"/>
      <c r="I2" s="200"/>
    </row>
    <row r="3" spans="1:51" s="70" customFormat="1" ht="29.25" customHeight="1" x14ac:dyDescent="0.2">
      <c r="A3" s="201"/>
      <c r="B3" s="202" t="s">
        <v>115</v>
      </c>
      <c r="C3" s="202" t="s">
        <v>116</v>
      </c>
      <c r="D3" s="202" t="s">
        <v>117</v>
      </c>
      <c r="E3" s="202" t="s">
        <v>118</v>
      </c>
      <c r="F3" s="202" t="s">
        <v>69</v>
      </c>
      <c r="G3" s="202" t="s">
        <v>70</v>
      </c>
      <c r="H3" s="202" t="s">
        <v>119</v>
      </c>
      <c r="I3" s="203" t="s">
        <v>112</v>
      </c>
    </row>
    <row r="4" spans="1:51" s="180" customFormat="1" ht="22.9" customHeight="1" x14ac:dyDescent="0.25">
      <c r="A4" s="197"/>
      <c r="B4" s="204" t="s">
        <v>120</v>
      </c>
      <c r="C4" s="199"/>
      <c r="D4" s="199"/>
      <c r="E4" s="199"/>
      <c r="F4" s="199"/>
      <c r="G4" s="199"/>
      <c r="H4" s="199"/>
      <c r="I4" s="205">
        <f>AW4</f>
        <v>0</v>
      </c>
      <c r="AF4" s="179" t="s">
        <v>121</v>
      </c>
      <c r="AG4" s="179" t="s">
        <v>113</v>
      </c>
      <c r="AW4" s="181">
        <f>AW5</f>
        <v>0</v>
      </c>
    </row>
    <row r="5" spans="1:51" s="182" customFormat="1" ht="25.9" customHeight="1" x14ac:dyDescent="0.2">
      <c r="A5" s="206"/>
      <c r="B5" s="207"/>
      <c r="C5" s="208" t="s">
        <v>121</v>
      </c>
      <c r="D5" s="209" t="s">
        <v>26</v>
      </c>
      <c r="E5" s="209" t="s">
        <v>122</v>
      </c>
      <c r="F5" s="207"/>
      <c r="G5" s="207"/>
      <c r="H5" s="207"/>
      <c r="I5" s="210">
        <f>AW5</f>
        <v>0</v>
      </c>
      <c r="AD5" s="183" t="s">
        <v>90</v>
      </c>
      <c r="AF5" s="184" t="s">
        <v>121</v>
      </c>
      <c r="AG5" s="184" t="s">
        <v>123</v>
      </c>
      <c r="AK5" s="183" t="s">
        <v>124</v>
      </c>
      <c r="AW5" s="185">
        <f>AW6+AW16+AW34</f>
        <v>0</v>
      </c>
    </row>
    <row r="6" spans="1:51" s="182" customFormat="1" ht="22.9" customHeight="1" x14ac:dyDescent="0.2">
      <c r="A6" s="206"/>
      <c r="B6" s="207"/>
      <c r="C6" s="208" t="s">
        <v>121</v>
      </c>
      <c r="D6" s="211" t="s">
        <v>90</v>
      </c>
      <c r="E6" s="211" t="s">
        <v>125</v>
      </c>
      <c r="F6" s="207"/>
      <c r="G6" s="207"/>
      <c r="H6" s="207"/>
      <c r="I6" s="212">
        <f>AW6</f>
        <v>0</v>
      </c>
      <c r="AD6" s="183" t="s">
        <v>90</v>
      </c>
      <c r="AF6" s="184" t="s">
        <v>121</v>
      </c>
      <c r="AG6" s="184" t="s">
        <v>90</v>
      </c>
      <c r="AK6" s="183" t="s">
        <v>124</v>
      </c>
      <c r="AW6" s="185">
        <f>SUM(AW7:AW15)</f>
        <v>0</v>
      </c>
    </row>
    <row r="7" spans="1:51" s="180" customFormat="1" ht="24.2" customHeight="1" x14ac:dyDescent="0.2">
      <c r="A7" s="197"/>
      <c r="B7" s="213" t="s">
        <v>90</v>
      </c>
      <c r="C7" s="213" t="s">
        <v>126</v>
      </c>
      <c r="D7" s="214" t="s">
        <v>127</v>
      </c>
      <c r="E7" s="215" t="s">
        <v>128</v>
      </c>
      <c r="F7" s="216" t="s">
        <v>129</v>
      </c>
      <c r="G7" s="217">
        <f>G15</f>
        <v>5841.28</v>
      </c>
      <c r="H7" s="253"/>
      <c r="I7" s="218">
        <f>ROUND(H7*G7,2)</f>
        <v>0</v>
      </c>
      <c r="AD7" s="186" t="s">
        <v>130</v>
      </c>
      <c r="AF7" s="186" t="s">
        <v>126</v>
      </c>
      <c r="AG7" s="186" t="s">
        <v>103</v>
      </c>
      <c r="AK7" s="179" t="s">
        <v>124</v>
      </c>
      <c r="AQ7" s="187" t="e">
        <f>IF(#REF!="základní",I7,0)</f>
        <v>#REF!</v>
      </c>
      <c r="AR7" s="187" t="e">
        <f>IF(#REF!="snížená",I7,0)</f>
        <v>#REF!</v>
      </c>
      <c r="AS7" s="187" t="e">
        <f>IF(#REF!="zákl. přenesená",I7,0)</f>
        <v>#REF!</v>
      </c>
      <c r="AT7" s="187" t="e">
        <f>IF(#REF!="sníž. přenesená",I7,0)</f>
        <v>#REF!</v>
      </c>
      <c r="AU7" s="187" t="e">
        <f>IF(#REF!="nulová",I7,0)</f>
        <v>#REF!</v>
      </c>
      <c r="AV7" s="179" t="s">
        <v>90</v>
      </c>
      <c r="AW7" s="187">
        <f>ROUND(H7*G7,2)</f>
        <v>0</v>
      </c>
      <c r="AX7" s="179" t="s">
        <v>130</v>
      </c>
      <c r="AY7" s="186" t="s">
        <v>131</v>
      </c>
    </row>
    <row r="8" spans="1:51" s="188" customFormat="1" ht="22.5" x14ac:dyDescent="0.2">
      <c r="A8" s="219"/>
      <c r="B8" s="220"/>
      <c r="C8" s="221" t="s">
        <v>132</v>
      </c>
      <c r="D8" s="222" t="s">
        <v>102</v>
      </c>
      <c r="E8" s="223" t="s">
        <v>133</v>
      </c>
      <c r="F8" s="220"/>
      <c r="G8" s="222" t="s">
        <v>102</v>
      </c>
      <c r="H8" s="220"/>
      <c r="I8" s="224"/>
      <c r="AF8" s="189" t="s">
        <v>132</v>
      </c>
      <c r="AG8" s="189" t="s">
        <v>103</v>
      </c>
      <c r="AH8" s="188" t="s">
        <v>90</v>
      </c>
      <c r="AI8" s="188" t="s">
        <v>134</v>
      </c>
      <c r="AJ8" s="188" t="s">
        <v>123</v>
      </c>
      <c r="AK8" s="189" t="s">
        <v>124</v>
      </c>
    </row>
    <row r="9" spans="1:51" s="188" customFormat="1" ht="33.75" x14ac:dyDescent="0.2">
      <c r="A9" s="219"/>
      <c r="B9" s="220"/>
      <c r="C9" s="221" t="s">
        <v>132</v>
      </c>
      <c r="D9" s="222" t="s">
        <v>102</v>
      </c>
      <c r="E9" s="223" t="s">
        <v>135</v>
      </c>
      <c r="F9" s="220"/>
      <c r="G9" s="222" t="s">
        <v>102</v>
      </c>
      <c r="H9" s="220"/>
      <c r="I9" s="224"/>
      <c r="AF9" s="189" t="s">
        <v>132</v>
      </c>
      <c r="AG9" s="189" t="s">
        <v>103</v>
      </c>
      <c r="AH9" s="188" t="s">
        <v>90</v>
      </c>
      <c r="AI9" s="188" t="s">
        <v>134</v>
      </c>
      <c r="AJ9" s="188" t="s">
        <v>123</v>
      </c>
      <c r="AK9" s="189" t="s">
        <v>124</v>
      </c>
    </row>
    <row r="10" spans="1:51" s="190" customFormat="1" ht="11.25" x14ac:dyDescent="0.2">
      <c r="A10" s="225"/>
      <c r="B10" s="226"/>
      <c r="C10" s="221" t="s">
        <v>132</v>
      </c>
      <c r="D10" s="227" t="s">
        <v>106</v>
      </c>
      <c r="E10" s="228" t="s">
        <v>136</v>
      </c>
      <c r="F10" s="226"/>
      <c r="G10" s="229">
        <v>2567</v>
      </c>
      <c r="H10" s="226"/>
      <c r="I10" s="230"/>
      <c r="AF10" s="191" t="s">
        <v>132</v>
      </c>
      <c r="AG10" s="191" t="s">
        <v>103</v>
      </c>
      <c r="AH10" s="190" t="s">
        <v>103</v>
      </c>
      <c r="AI10" s="190" t="s">
        <v>134</v>
      </c>
      <c r="AJ10" s="190" t="s">
        <v>123</v>
      </c>
      <c r="AK10" s="191" t="s">
        <v>124</v>
      </c>
    </row>
    <row r="11" spans="1:51" s="188" customFormat="1" ht="11.25" x14ac:dyDescent="0.2">
      <c r="A11" s="219"/>
      <c r="B11" s="220"/>
      <c r="C11" s="221" t="s">
        <v>132</v>
      </c>
      <c r="D11" s="222" t="s">
        <v>102</v>
      </c>
      <c r="E11" s="223" t="s">
        <v>137</v>
      </c>
      <c r="F11" s="220"/>
      <c r="G11" s="222" t="s">
        <v>102</v>
      </c>
      <c r="H11" s="220"/>
      <c r="I11" s="224"/>
      <c r="AF11" s="189" t="s">
        <v>132</v>
      </c>
      <c r="AG11" s="189" t="s">
        <v>103</v>
      </c>
      <c r="AH11" s="188" t="s">
        <v>90</v>
      </c>
      <c r="AI11" s="188" t="s">
        <v>134</v>
      </c>
      <c r="AJ11" s="188" t="s">
        <v>123</v>
      </c>
      <c r="AK11" s="189" t="s">
        <v>124</v>
      </c>
    </row>
    <row r="12" spans="1:51" s="190" customFormat="1" ht="22.5" x14ac:dyDescent="0.2">
      <c r="A12" s="225"/>
      <c r="B12" s="226"/>
      <c r="C12" s="221" t="s">
        <v>132</v>
      </c>
      <c r="D12" s="227" t="s">
        <v>101</v>
      </c>
      <c r="E12" s="228" t="s">
        <v>221</v>
      </c>
      <c r="F12" s="226"/>
      <c r="G12" s="229">
        <f>3273.5-587</f>
        <v>2686.5</v>
      </c>
      <c r="H12" s="226"/>
      <c r="I12" s="230"/>
      <c r="AF12" s="191" t="s">
        <v>132</v>
      </c>
      <c r="AG12" s="191" t="s">
        <v>103</v>
      </c>
      <c r="AH12" s="190" t="s">
        <v>103</v>
      </c>
      <c r="AI12" s="190" t="s">
        <v>134</v>
      </c>
      <c r="AJ12" s="190" t="s">
        <v>123</v>
      </c>
      <c r="AK12" s="191" t="s">
        <v>124</v>
      </c>
    </row>
    <row r="13" spans="1:51" s="190" customFormat="1" ht="11.25" x14ac:dyDescent="0.2">
      <c r="A13" s="225"/>
      <c r="B13" s="226"/>
      <c r="C13" s="221" t="s">
        <v>132</v>
      </c>
      <c r="D13" s="227" t="s">
        <v>111</v>
      </c>
      <c r="E13" s="228" t="s">
        <v>138</v>
      </c>
      <c r="F13" s="226"/>
      <c r="G13" s="229">
        <v>297.77999999999997</v>
      </c>
      <c r="H13" s="226"/>
      <c r="I13" s="230"/>
      <c r="AF13" s="191" t="s">
        <v>132</v>
      </c>
      <c r="AG13" s="191" t="s">
        <v>103</v>
      </c>
      <c r="AH13" s="190" t="s">
        <v>103</v>
      </c>
      <c r="AI13" s="190" t="s">
        <v>134</v>
      </c>
      <c r="AJ13" s="190" t="s">
        <v>123</v>
      </c>
      <c r="AK13" s="191" t="s">
        <v>124</v>
      </c>
    </row>
    <row r="14" spans="1:51" s="190" customFormat="1" ht="11.25" x14ac:dyDescent="0.2">
      <c r="A14" s="225"/>
      <c r="B14" s="226"/>
      <c r="C14" s="221" t="s">
        <v>132</v>
      </c>
      <c r="D14" s="227" t="s">
        <v>104</v>
      </c>
      <c r="E14" s="228" t="s">
        <v>139</v>
      </c>
      <c r="F14" s="226"/>
      <c r="G14" s="229">
        <v>290</v>
      </c>
      <c r="H14" s="226"/>
      <c r="I14" s="230"/>
      <c r="AF14" s="191" t="s">
        <v>132</v>
      </c>
      <c r="AG14" s="191" t="s">
        <v>103</v>
      </c>
      <c r="AH14" s="190" t="s">
        <v>103</v>
      </c>
      <c r="AI14" s="190" t="s">
        <v>134</v>
      </c>
      <c r="AJ14" s="190" t="s">
        <v>123</v>
      </c>
      <c r="AK14" s="191" t="s">
        <v>124</v>
      </c>
    </row>
    <row r="15" spans="1:51" s="192" customFormat="1" ht="11.25" x14ac:dyDescent="0.2">
      <c r="A15" s="231"/>
      <c r="B15" s="232"/>
      <c r="C15" s="221" t="s">
        <v>132</v>
      </c>
      <c r="D15" s="233" t="s">
        <v>102</v>
      </c>
      <c r="E15" s="234" t="s">
        <v>140</v>
      </c>
      <c r="F15" s="232"/>
      <c r="G15" s="235">
        <f>SUM(G10:G14)</f>
        <v>5841.28</v>
      </c>
      <c r="H15" s="232"/>
      <c r="I15" s="236"/>
      <c r="AF15" s="193" t="s">
        <v>132</v>
      </c>
      <c r="AG15" s="193" t="s">
        <v>103</v>
      </c>
      <c r="AH15" s="192" t="s">
        <v>130</v>
      </c>
      <c r="AI15" s="192" t="s">
        <v>134</v>
      </c>
      <c r="AJ15" s="192" t="s">
        <v>90</v>
      </c>
      <c r="AK15" s="193" t="s">
        <v>124</v>
      </c>
    </row>
    <row r="16" spans="1:51" s="182" customFormat="1" ht="22.9" customHeight="1" x14ac:dyDescent="0.2">
      <c r="A16" s="206"/>
      <c r="B16" s="207"/>
      <c r="C16" s="208" t="s">
        <v>121</v>
      </c>
      <c r="D16" s="211" t="s">
        <v>58</v>
      </c>
      <c r="E16" s="211" t="s">
        <v>141</v>
      </c>
      <c r="F16" s="207"/>
      <c r="G16" s="207"/>
      <c r="H16" s="207"/>
      <c r="I16" s="212">
        <f>AW16</f>
        <v>0</v>
      </c>
      <c r="AD16" s="183" t="s">
        <v>90</v>
      </c>
      <c r="AF16" s="184" t="s">
        <v>121</v>
      </c>
      <c r="AG16" s="184" t="s">
        <v>90</v>
      </c>
      <c r="AK16" s="183" t="s">
        <v>124</v>
      </c>
      <c r="AW16" s="185">
        <f>SUM(AW17:AW33)</f>
        <v>0</v>
      </c>
    </row>
    <row r="17" spans="1:51" s="180" customFormat="1" ht="24.2" customHeight="1" x14ac:dyDescent="0.2">
      <c r="A17" s="197"/>
      <c r="B17" s="213" t="s">
        <v>103</v>
      </c>
      <c r="C17" s="213" t="s">
        <v>126</v>
      </c>
      <c r="D17" s="214" t="s">
        <v>142</v>
      </c>
      <c r="E17" s="215" t="s">
        <v>143</v>
      </c>
      <c r="F17" s="216" t="s">
        <v>129</v>
      </c>
      <c r="G17" s="217">
        <v>2567</v>
      </c>
      <c r="H17" s="253"/>
      <c r="I17" s="218">
        <f>ROUND(H17*G17,2)</f>
        <v>0</v>
      </c>
      <c r="AD17" s="186" t="s">
        <v>130</v>
      </c>
      <c r="AF17" s="186" t="s">
        <v>126</v>
      </c>
      <c r="AG17" s="186" t="s">
        <v>103</v>
      </c>
      <c r="AK17" s="179" t="s">
        <v>124</v>
      </c>
      <c r="AQ17" s="187" t="e">
        <f>IF(#REF!="základní",I17,0)</f>
        <v>#REF!</v>
      </c>
      <c r="AR17" s="187" t="e">
        <f>IF(#REF!="snížená",I17,0)</f>
        <v>#REF!</v>
      </c>
      <c r="AS17" s="187" t="e">
        <f>IF(#REF!="zákl. přenesená",I17,0)</f>
        <v>#REF!</v>
      </c>
      <c r="AT17" s="187" t="e">
        <f>IF(#REF!="sníž. přenesená",I17,0)</f>
        <v>#REF!</v>
      </c>
      <c r="AU17" s="187" t="e">
        <f>IF(#REF!="nulová",I17,0)</f>
        <v>#REF!</v>
      </c>
      <c r="AV17" s="179" t="s">
        <v>90</v>
      </c>
      <c r="AW17" s="187">
        <f>ROUND(H17*G17,2)</f>
        <v>0</v>
      </c>
      <c r="AX17" s="179" t="s">
        <v>130</v>
      </c>
      <c r="AY17" s="186" t="s">
        <v>144</v>
      </c>
    </row>
    <row r="18" spans="1:51" s="190" customFormat="1" ht="11.25" x14ac:dyDescent="0.2">
      <c r="A18" s="225"/>
      <c r="B18" s="226"/>
      <c r="C18" s="221" t="s">
        <v>132</v>
      </c>
      <c r="D18" s="227" t="s">
        <v>102</v>
      </c>
      <c r="E18" s="228" t="s">
        <v>106</v>
      </c>
      <c r="F18" s="226"/>
      <c r="G18" s="229">
        <v>2567</v>
      </c>
      <c r="H18" s="226"/>
      <c r="I18" s="230"/>
      <c r="AF18" s="191" t="s">
        <v>132</v>
      </c>
      <c r="AG18" s="191" t="s">
        <v>103</v>
      </c>
      <c r="AH18" s="190" t="s">
        <v>103</v>
      </c>
      <c r="AI18" s="190" t="s">
        <v>134</v>
      </c>
      <c r="AJ18" s="190" t="s">
        <v>90</v>
      </c>
      <c r="AK18" s="191" t="s">
        <v>124</v>
      </c>
    </row>
    <row r="19" spans="1:51" s="180" customFormat="1" ht="24.2" customHeight="1" x14ac:dyDescent="0.2">
      <c r="A19" s="197"/>
      <c r="B19" s="213" t="s">
        <v>145</v>
      </c>
      <c r="C19" s="213" t="s">
        <v>126</v>
      </c>
      <c r="D19" s="214" t="s">
        <v>146</v>
      </c>
      <c r="E19" s="215" t="s">
        <v>147</v>
      </c>
      <c r="F19" s="216" t="s">
        <v>129</v>
      </c>
      <c r="G19" s="217">
        <f>G20</f>
        <v>2984.28</v>
      </c>
      <c r="H19" s="253"/>
      <c r="I19" s="218">
        <f>ROUND(H19*G19,2)</f>
        <v>0</v>
      </c>
      <c r="AD19" s="186" t="s">
        <v>130</v>
      </c>
      <c r="AF19" s="186" t="s">
        <v>126</v>
      </c>
      <c r="AG19" s="186" t="s">
        <v>103</v>
      </c>
      <c r="AK19" s="179" t="s">
        <v>124</v>
      </c>
      <c r="AQ19" s="187" t="e">
        <f>IF(#REF!="základní",I19,0)</f>
        <v>#REF!</v>
      </c>
      <c r="AR19" s="187" t="e">
        <f>IF(#REF!="snížená",I19,0)</f>
        <v>#REF!</v>
      </c>
      <c r="AS19" s="187" t="e">
        <f>IF(#REF!="zákl. přenesená",I19,0)</f>
        <v>#REF!</v>
      </c>
      <c r="AT19" s="187" t="e">
        <f>IF(#REF!="sníž. přenesená",I19,0)</f>
        <v>#REF!</v>
      </c>
      <c r="AU19" s="187" t="e">
        <f>IF(#REF!="nulová",I19,0)</f>
        <v>#REF!</v>
      </c>
      <c r="AV19" s="179" t="s">
        <v>90</v>
      </c>
      <c r="AW19" s="187">
        <f>ROUND(H19*G19,2)</f>
        <v>0</v>
      </c>
      <c r="AX19" s="179" t="s">
        <v>130</v>
      </c>
      <c r="AY19" s="186" t="s">
        <v>148</v>
      </c>
    </row>
    <row r="20" spans="1:51" s="190" customFormat="1" ht="11.25" x14ac:dyDescent="0.2">
      <c r="A20" s="225"/>
      <c r="B20" s="226"/>
      <c r="C20" s="221" t="s">
        <v>132</v>
      </c>
      <c r="D20" s="227" t="s">
        <v>102</v>
      </c>
      <c r="E20" s="228" t="s">
        <v>149</v>
      </c>
      <c r="F20" s="226"/>
      <c r="G20" s="229">
        <f>3571.28-587</f>
        <v>2984.28</v>
      </c>
      <c r="H20" s="226"/>
      <c r="I20" s="230"/>
      <c r="AF20" s="191" t="s">
        <v>132</v>
      </c>
      <c r="AG20" s="191" t="s">
        <v>103</v>
      </c>
      <c r="AH20" s="190" t="s">
        <v>103</v>
      </c>
      <c r="AI20" s="190" t="s">
        <v>134</v>
      </c>
      <c r="AJ20" s="190" t="s">
        <v>90</v>
      </c>
      <c r="AK20" s="191" t="s">
        <v>124</v>
      </c>
    </row>
    <row r="21" spans="1:51" s="180" customFormat="1" ht="24.2" customHeight="1" x14ac:dyDescent="0.2">
      <c r="A21" s="197"/>
      <c r="B21" s="213" t="s">
        <v>130</v>
      </c>
      <c r="C21" s="213" t="s">
        <v>126</v>
      </c>
      <c r="D21" s="214" t="s">
        <v>150</v>
      </c>
      <c r="E21" s="215" t="s">
        <v>151</v>
      </c>
      <c r="F21" s="216" t="s">
        <v>129</v>
      </c>
      <c r="G21" s="217">
        <v>2567</v>
      </c>
      <c r="H21" s="253"/>
      <c r="I21" s="218">
        <f>ROUND(H21*G21,2)</f>
        <v>0</v>
      </c>
      <c r="AD21" s="186" t="s">
        <v>130</v>
      </c>
      <c r="AF21" s="186" t="s">
        <v>126</v>
      </c>
      <c r="AG21" s="186" t="s">
        <v>103</v>
      </c>
      <c r="AK21" s="179" t="s">
        <v>124</v>
      </c>
      <c r="AQ21" s="187" t="e">
        <f>IF(#REF!="základní",I21,0)</f>
        <v>#REF!</v>
      </c>
      <c r="AR21" s="187" t="e">
        <f>IF(#REF!="snížená",I21,0)</f>
        <v>#REF!</v>
      </c>
      <c r="AS21" s="187" t="e">
        <f>IF(#REF!="zákl. přenesená",I21,0)</f>
        <v>#REF!</v>
      </c>
      <c r="AT21" s="187" t="e">
        <f>IF(#REF!="sníž. přenesená",I21,0)</f>
        <v>#REF!</v>
      </c>
      <c r="AU21" s="187" t="e">
        <f>IF(#REF!="nulová",I21,0)</f>
        <v>#REF!</v>
      </c>
      <c r="AV21" s="179" t="s">
        <v>90</v>
      </c>
      <c r="AW21" s="187">
        <f>ROUND(H21*G21,2)</f>
        <v>0</v>
      </c>
      <c r="AX21" s="179" t="s">
        <v>130</v>
      </c>
      <c r="AY21" s="186" t="s">
        <v>152</v>
      </c>
    </row>
    <row r="22" spans="1:51" s="190" customFormat="1" ht="11.25" x14ac:dyDescent="0.2">
      <c r="A22" s="225"/>
      <c r="B22" s="226"/>
      <c r="C22" s="221" t="s">
        <v>132</v>
      </c>
      <c r="D22" s="227" t="s">
        <v>102</v>
      </c>
      <c r="E22" s="228" t="s">
        <v>106</v>
      </c>
      <c r="F22" s="226"/>
      <c r="G22" s="229">
        <v>2567</v>
      </c>
      <c r="H22" s="226"/>
      <c r="I22" s="230"/>
      <c r="AF22" s="191" t="s">
        <v>132</v>
      </c>
      <c r="AG22" s="191" t="s">
        <v>103</v>
      </c>
      <c r="AH22" s="190" t="s">
        <v>103</v>
      </c>
      <c r="AI22" s="190" t="s">
        <v>134</v>
      </c>
      <c r="AJ22" s="190" t="s">
        <v>90</v>
      </c>
      <c r="AK22" s="191" t="s">
        <v>124</v>
      </c>
    </row>
    <row r="23" spans="1:51" s="180" customFormat="1" ht="24.2" customHeight="1" x14ac:dyDescent="0.2">
      <c r="A23" s="197"/>
      <c r="B23" s="213" t="s">
        <v>58</v>
      </c>
      <c r="C23" s="213" t="s">
        <v>126</v>
      </c>
      <c r="D23" s="214" t="s">
        <v>153</v>
      </c>
      <c r="E23" s="215" t="s">
        <v>154</v>
      </c>
      <c r="F23" s="216" t="s">
        <v>129</v>
      </c>
      <c r="G23" s="217">
        <v>290</v>
      </c>
      <c r="H23" s="253"/>
      <c r="I23" s="218">
        <f>ROUND(H23*G23,2)</f>
        <v>0</v>
      </c>
      <c r="AD23" s="186" t="s">
        <v>130</v>
      </c>
      <c r="AF23" s="186" t="s">
        <v>126</v>
      </c>
      <c r="AG23" s="186" t="s">
        <v>103</v>
      </c>
      <c r="AK23" s="179" t="s">
        <v>124</v>
      </c>
      <c r="AQ23" s="187" t="e">
        <f>IF(#REF!="základní",I23,0)</f>
        <v>#REF!</v>
      </c>
      <c r="AR23" s="187" t="e">
        <f>IF(#REF!="snížená",I23,0)</f>
        <v>#REF!</v>
      </c>
      <c r="AS23" s="187" t="e">
        <f>IF(#REF!="zákl. přenesená",I23,0)</f>
        <v>#REF!</v>
      </c>
      <c r="AT23" s="187" t="e">
        <f>IF(#REF!="sníž. přenesená",I23,0)</f>
        <v>#REF!</v>
      </c>
      <c r="AU23" s="187" t="e">
        <f>IF(#REF!="nulová",I23,0)</f>
        <v>#REF!</v>
      </c>
      <c r="AV23" s="179" t="s">
        <v>90</v>
      </c>
      <c r="AW23" s="187">
        <f>ROUND(H23*G23,2)</f>
        <v>0</v>
      </c>
      <c r="AX23" s="179" t="s">
        <v>130</v>
      </c>
      <c r="AY23" s="186" t="s">
        <v>155</v>
      </c>
    </row>
    <row r="24" spans="1:51" s="190" customFormat="1" ht="11.25" x14ac:dyDescent="0.2">
      <c r="A24" s="225"/>
      <c r="B24" s="226"/>
      <c r="C24" s="221" t="s">
        <v>132</v>
      </c>
      <c r="D24" s="227" t="s">
        <v>102</v>
      </c>
      <c r="E24" s="228" t="s">
        <v>104</v>
      </c>
      <c r="F24" s="226"/>
      <c r="G24" s="229">
        <v>290</v>
      </c>
      <c r="H24" s="226"/>
      <c r="I24" s="230"/>
      <c r="AF24" s="191" t="s">
        <v>132</v>
      </c>
      <c r="AG24" s="191" t="s">
        <v>103</v>
      </c>
      <c r="AH24" s="190" t="s">
        <v>103</v>
      </c>
      <c r="AI24" s="190" t="s">
        <v>134</v>
      </c>
      <c r="AJ24" s="190" t="s">
        <v>90</v>
      </c>
      <c r="AK24" s="191" t="s">
        <v>124</v>
      </c>
    </row>
    <row r="25" spans="1:51" s="180" customFormat="1" ht="24.2" customHeight="1" x14ac:dyDescent="0.2">
      <c r="A25" s="197"/>
      <c r="B25" s="213" t="s">
        <v>156</v>
      </c>
      <c r="C25" s="213" t="s">
        <v>126</v>
      </c>
      <c r="D25" s="214" t="s">
        <v>157</v>
      </c>
      <c r="E25" s="215" t="s">
        <v>158</v>
      </c>
      <c r="F25" s="216" t="s">
        <v>129</v>
      </c>
      <c r="G25" s="217">
        <f>G26</f>
        <v>2686.5</v>
      </c>
      <c r="H25" s="253"/>
      <c r="I25" s="218">
        <f>ROUND(H25*G25,2)</f>
        <v>0</v>
      </c>
      <c r="AD25" s="186" t="s">
        <v>130</v>
      </c>
      <c r="AF25" s="186" t="s">
        <v>126</v>
      </c>
      <c r="AG25" s="186" t="s">
        <v>103</v>
      </c>
      <c r="AK25" s="179" t="s">
        <v>124</v>
      </c>
      <c r="AQ25" s="187" t="e">
        <f>IF(#REF!="základní",I25,0)</f>
        <v>#REF!</v>
      </c>
      <c r="AR25" s="187" t="e">
        <f>IF(#REF!="snížená",I25,0)</f>
        <v>#REF!</v>
      </c>
      <c r="AS25" s="187" t="e">
        <f>IF(#REF!="zákl. přenesená",I25,0)</f>
        <v>#REF!</v>
      </c>
      <c r="AT25" s="187" t="e">
        <f>IF(#REF!="sníž. přenesená",I25,0)</f>
        <v>#REF!</v>
      </c>
      <c r="AU25" s="187" t="e">
        <f>IF(#REF!="nulová",I25,0)</f>
        <v>#REF!</v>
      </c>
      <c r="AV25" s="179" t="s">
        <v>90</v>
      </c>
      <c r="AW25" s="187">
        <f>ROUND(H25*G25,2)</f>
        <v>0</v>
      </c>
      <c r="AX25" s="179" t="s">
        <v>130</v>
      </c>
      <c r="AY25" s="186" t="s">
        <v>159</v>
      </c>
    </row>
    <row r="26" spans="1:51" s="190" customFormat="1" ht="11.25" x14ac:dyDescent="0.2">
      <c r="A26" s="225"/>
      <c r="B26" s="226"/>
      <c r="C26" s="221" t="s">
        <v>132</v>
      </c>
      <c r="D26" s="227" t="s">
        <v>102</v>
      </c>
      <c r="E26" s="228" t="s">
        <v>219</v>
      </c>
      <c r="F26" s="226"/>
      <c r="G26" s="229">
        <f>3273.5-587</f>
        <v>2686.5</v>
      </c>
      <c r="H26" s="226"/>
      <c r="I26" s="230"/>
      <c r="AF26" s="191" t="s">
        <v>132</v>
      </c>
      <c r="AG26" s="191" t="s">
        <v>103</v>
      </c>
      <c r="AH26" s="190" t="s">
        <v>103</v>
      </c>
      <c r="AI26" s="190" t="s">
        <v>134</v>
      </c>
      <c r="AJ26" s="190" t="s">
        <v>90</v>
      </c>
      <c r="AK26" s="191" t="s">
        <v>124</v>
      </c>
    </row>
    <row r="27" spans="1:51" s="180" customFormat="1" ht="21.75" customHeight="1" x14ac:dyDescent="0.2">
      <c r="A27" s="197"/>
      <c r="B27" s="237" t="s">
        <v>160</v>
      </c>
      <c r="C27" s="237" t="s">
        <v>161</v>
      </c>
      <c r="D27" s="238" t="s">
        <v>162</v>
      </c>
      <c r="E27" s="239" t="s">
        <v>163</v>
      </c>
      <c r="F27" s="240" t="s">
        <v>129</v>
      </c>
      <c r="G27" s="241">
        <f>G29</f>
        <v>2767.6323000000002</v>
      </c>
      <c r="H27" s="254"/>
      <c r="I27" s="242">
        <f>ROUND(H27*G27,2)</f>
        <v>0</v>
      </c>
      <c r="AD27" s="186" t="s">
        <v>164</v>
      </c>
      <c r="AF27" s="186" t="s">
        <v>161</v>
      </c>
      <c r="AG27" s="186" t="s">
        <v>103</v>
      </c>
      <c r="AK27" s="179" t="s">
        <v>124</v>
      </c>
      <c r="AQ27" s="187" t="e">
        <f>IF(#REF!="základní",I27,0)</f>
        <v>#REF!</v>
      </c>
      <c r="AR27" s="187" t="e">
        <f>IF(#REF!="snížená",I27,0)</f>
        <v>#REF!</v>
      </c>
      <c r="AS27" s="187" t="e">
        <f>IF(#REF!="zákl. přenesená",I27,0)</f>
        <v>#REF!</v>
      </c>
      <c r="AT27" s="187" t="e">
        <f>IF(#REF!="sníž. přenesená",I27,0)</f>
        <v>#REF!</v>
      </c>
      <c r="AU27" s="187" t="e">
        <f>IF(#REF!="nulová",I27,0)</f>
        <v>#REF!</v>
      </c>
      <c r="AV27" s="179" t="s">
        <v>90</v>
      </c>
      <c r="AW27" s="187">
        <f>ROUND(H27*G27,2)</f>
        <v>0</v>
      </c>
      <c r="AX27" s="179" t="s">
        <v>130</v>
      </c>
      <c r="AY27" s="186" t="s">
        <v>165</v>
      </c>
    </row>
    <row r="28" spans="1:51" s="190" customFormat="1" ht="11.25" x14ac:dyDescent="0.2">
      <c r="A28" s="225"/>
      <c r="B28" s="226"/>
      <c r="C28" s="221" t="s">
        <v>132</v>
      </c>
      <c r="D28" s="227" t="s">
        <v>102</v>
      </c>
      <c r="E28" s="228" t="s">
        <v>166</v>
      </c>
      <c r="F28" s="226"/>
      <c r="G28" s="229">
        <f>2686.5*1.02</f>
        <v>2740.23</v>
      </c>
      <c r="H28" s="226"/>
      <c r="I28" s="230"/>
      <c r="AF28" s="191" t="s">
        <v>132</v>
      </c>
      <c r="AG28" s="191" t="s">
        <v>103</v>
      </c>
      <c r="AH28" s="190" t="s">
        <v>103</v>
      </c>
      <c r="AI28" s="190" t="s">
        <v>134</v>
      </c>
      <c r="AJ28" s="190" t="s">
        <v>90</v>
      </c>
      <c r="AK28" s="191" t="s">
        <v>124</v>
      </c>
    </row>
    <row r="29" spans="1:51" s="190" customFormat="1" ht="11.25" x14ac:dyDescent="0.2">
      <c r="A29" s="225"/>
      <c r="B29" s="226"/>
      <c r="C29" s="221" t="s">
        <v>132</v>
      </c>
      <c r="D29" s="226"/>
      <c r="E29" s="228" t="s">
        <v>220</v>
      </c>
      <c r="F29" s="226"/>
      <c r="G29" s="229">
        <f>G28*1.01</f>
        <v>2767.6323000000002</v>
      </c>
      <c r="H29" s="226"/>
      <c r="I29" s="230"/>
      <c r="AF29" s="191" t="s">
        <v>132</v>
      </c>
      <c r="AG29" s="191" t="s">
        <v>103</v>
      </c>
      <c r="AH29" s="190" t="s">
        <v>103</v>
      </c>
      <c r="AI29" s="190" t="s">
        <v>105</v>
      </c>
      <c r="AJ29" s="190" t="s">
        <v>90</v>
      </c>
      <c r="AK29" s="191" t="s">
        <v>124</v>
      </c>
    </row>
    <row r="30" spans="1:51" s="180" customFormat="1" ht="33" customHeight="1" x14ac:dyDescent="0.2">
      <c r="A30" s="197"/>
      <c r="B30" s="213" t="s">
        <v>164</v>
      </c>
      <c r="C30" s="213" t="s">
        <v>126</v>
      </c>
      <c r="D30" s="214" t="s">
        <v>167</v>
      </c>
      <c r="E30" s="215" t="s">
        <v>168</v>
      </c>
      <c r="F30" s="216" t="s">
        <v>129</v>
      </c>
      <c r="G30" s="217">
        <v>2567</v>
      </c>
      <c r="H30" s="253"/>
      <c r="I30" s="218">
        <f>ROUND(H30*G30,2)</f>
        <v>0</v>
      </c>
      <c r="AD30" s="186" t="s">
        <v>130</v>
      </c>
      <c r="AF30" s="186" t="s">
        <v>126</v>
      </c>
      <c r="AG30" s="186" t="s">
        <v>103</v>
      </c>
      <c r="AK30" s="179" t="s">
        <v>124</v>
      </c>
      <c r="AQ30" s="187" t="e">
        <f>IF(#REF!="základní",I30,0)</f>
        <v>#REF!</v>
      </c>
      <c r="AR30" s="187" t="e">
        <f>IF(#REF!="snížená",I30,0)</f>
        <v>#REF!</v>
      </c>
      <c r="AS30" s="187" t="e">
        <f>IF(#REF!="zákl. přenesená",I30,0)</f>
        <v>#REF!</v>
      </c>
      <c r="AT30" s="187" t="e">
        <f>IF(#REF!="sníž. přenesená",I30,0)</f>
        <v>#REF!</v>
      </c>
      <c r="AU30" s="187" t="e">
        <f>IF(#REF!="nulová",I30,0)</f>
        <v>#REF!</v>
      </c>
      <c r="AV30" s="179" t="s">
        <v>90</v>
      </c>
      <c r="AW30" s="187">
        <f>ROUND(H30*G30,2)</f>
        <v>0</v>
      </c>
      <c r="AX30" s="179" t="s">
        <v>130</v>
      </c>
      <c r="AY30" s="186" t="s">
        <v>169</v>
      </c>
    </row>
    <row r="31" spans="1:51" s="190" customFormat="1" ht="11.25" x14ac:dyDescent="0.2">
      <c r="A31" s="225"/>
      <c r="B31" s="226"/>
      <c r="C31" s="221" t="s">
        <v>132</v>
      </c>
      <c r="D31" s="227" t="s">
        <v>102</v>
      </c>
      <c r="E31" s="228" t="s">
        <v>106</v>
      </c>
      <c r="F31" s="226"/>
      <c r="G31" s="229">
        <v>2567</v>
      </c>
      <c r="H31" s="226"/>
      <c r="I31" s="230"/>
      <c r="AF31" s="191" t="s">
        <v>132</v>
      </c>
      <c r="AG31" s="191" t="s">
        <v>103</v>
      </c>
      <c r="AH31" s="190" t="s">
        <v>103</v>
      </c>
      <c r="AI31" s="190" t="s">
        <v>134</v>
      </c>
      <c r="AJ31" s="190" t="s">
        <v>90</v>
      </c>
      <c r="AK31" s="191" t="s">
        <v>124</v>
      </c>
    </row>
    <row r="32" spans="1:51" s="180" customFormat="1" ht="21.75" customHeight="1" x14ac:dyDescent="0.2">
      <c r="A32" s="197"/>
      <c r="B32" s="237" t="s">
        <v>170</v>
      </c>
      <c r="C32" s="237" t="s">
        <v>161</v>
      </c>
      <c r="D32" s="238" t="s">
        <v>171</v>
      </c>
      <c r="E32" s="239" t="s">
        <v>172</v>
      </c>
      <c r="F32" s="240" t="s">
        <v>129</v>
      </c>
      <c r="G32" s="241">
        <v>2618.34</v>
      </c>
      <c r="H32" s="254"/>
      <c r="I32" s="242">
        <f>ROUND(H32*G32,2)</f>
        <v>0</v>
      </c>
      <c r="AD32" s="186" t="s">
        <v>164</v>
      </c>
      <c r="AF32" s="186" t="s">
        <v>161</v>
      </c>
      <c r="AG32" s="186" t="s">
        <v>103</v>
      </c>
      <c r="AK32" s="179" t="s">
        <v>124</v>
      </c>
      <c r="AQ32" s="187" t="e">
        <f>IF(#REF!="základní",I32,0)</f>
        <v>#REF!</v>
      </c>
      <c r="AR32" s="187" t="e">
        <f>IF(#REF!="snížená",I32,0)</f>
        <v>#REF!</v>
      </c>
      <c r="AS32" s="187" t="e">
        <f>IF(#REF!="zákl. přenesená",I32,0)</f>
        <v>#REF!</v>
      </c>
      <c r="AT32" s="187" t="e">
        <f>IF(#REF!="sníž. přenesená",I32,0)</f>
        <v>#REF!</v>
      </c>
      <c r="AU32" s="187" t="e">
        <f>IF(#REF!="nulová",I32,0)</f>
        <v>#REF!</v>
      </c>
      <c r="AV32" s="179" t="s">
        <v>90</v>
      </c>
      <c r="AW32" s="187">
        <f>ROUND(H32*G32,2)</f>
        <v>0</v>
      </c>
      <c r="AX32" s="179" t="s">
        <v>130</v>
      </c>
      <c r="AY32" s="186" t="s">
        <v>173</v>
      </c>
    </row>
    <row r="33" spans="1:51" s="190" customFormat="1" ht="11.25" x14ac:dyDescent="0.2">
      <c r="A33" s="225"/>
      <c r="B33" s="226"/>
      <c r="C33" s="221" t="s">
        <v>132</v>
      </c>
      <c r="D33" s="227" t="s">
        <v>102</v>
      </c>
      <c r="E33" s="228" t="s">
        <v>174</v>
      </c>
      <c r="F33" s="226"/>
      <c r="G33" s="229">
        <v>2618.34</v>
      </c>
      <c r="H33" s="226"/>
      <c r="I33" s="230"/>
      <c r="AF33" s="191" t="s">
        <v>132</v>
      </c>
      <c r="AG33" s="191" t="s">
        <v>103</v>
      </c>
      <c r="AH33" s="190" t="s">
        <v>103</v>
      </c>
      <c r="AI33" s="190" t="s">
        <v>134</v>
      </c>
      <c r="AJ33" s="190" t="s">
        <v>90</v>
      </c>
      <c r="AK33" s="191" t="s">
        <v>124</v>
      </c>
    </row>
    <row r="34" spans="1:51" s="182" customFormat="1" ht="22.9" customHeight="1" x14ac:dyDescent="0.2">
      <c r="A34" s="206"/>
      <c r="B34" s="207"/>
      <c r="C34" s="208" t="s">
        <v>121</v>
      </c>
      <c r="D34" s="211" t="s">
        <v>170</v>
      </c>
      <c r="E34" s="211" t="s">
        <v>175</v>
      </c>
      <c r="F34" s="207"/>
      <c r="G34" s="207"/>
      <c r="H34" s="207"/>
      <c r="I34" s="212">
        <f>AW34</f>
        <v>0</v>
      </c>
      <c r="AD34" s="183" t="s">
        <v>90</v>
      </c>
      <c r="AF34" s="184" t="s">
        <v>121</v>
      </c>
      <c r="AG34" s="184" t="s">
        <v>90</v>
      </c>
      <c r="AK34" s="183" t="s">
        <v>124</v>
      </c>
      <c r="AW34" s="185">
        <f>SUM(AW35:AW54)</f>
        <v>0</v>
      </c>
    </row>
    <row r="35" spans="1:51" s="180" customFormat="1" ht="33" customHeight="1" x14ac:dyDescent="0.2">
      <c r="A35" s="197"/>
      <c r="B35" s="213" t="s">
        <v>176</v>
      </c>
      <c r="C35" s="213" t="s">
        <v>126</v>
      </c>
      <c r="D35" s="214" t="s">
        <v>177</v>
      </c>
      <c r="E35" s="215" t="s">
        <v>178</v>
      </c>
      <c r="F35" s="216" t="s">
        <v>179</v>
      </c>
      <c r="G35" s="217">
        <v>843</v>
      </c>
      <c r="H35" s="253"/>
      <c r="I35" s="218">
        <f>ROUND(H35*G35,2)</f>
        <v>0</v>
      </c>
      <c r="AD35" s="186" t="s">
        <v>130</v>
      </c>
      <c r="AF35" s="186" t="s">
        <v>126</v>
      </c>
      <c r="AG35" s="186" t="s">
        <v>103</v>
      </c>
      <c r="AK35" s="179" t="s">
        <v>124</v>
      </c>
      <c r="AQ35" s="187" t="e">
        <f>IF(#REF!="základní",I35,0)</f>
        <v>#REF!</v>
      </c>
      <c r="AR35" s="187" t="e">
        <f>IF(#REF!="snížená",I35,0)</f>
        <v>#REF!</v>
      </c>
      <c r="AS35" s="187" t="e">
        <f>IF(#REF!="zákl. přenesená",I35,0)</f>
        <v>#REF!</v>
      </c>
      <c r="AT35" s="187" t="e">
        <f>IF(#REF!="sníž. přenesená",I35,0)</f>
        <v>#REF!</v>
      </c>
      <c r="AU35" s="187" t="e">
        <f>IF(#REF!="nulová",I35,0)</f>
        <v>#REF!</v>
      </c>
      <c r="AV35" s="179" t="s">
        <v>90</v>
      </c>
      <c r="AW35" s="187">
        <f>ROUND(H35*G35,2)</f>
        <v>0</v>
      </c>
      <c r="AX35" s="179" t="s">
        <v>130</v>
      </c>
      <c r="AY35" s="186" t="s">
        <v>180</v>
      </c>
    </row>
    <row r="36" spans="1:51" s="190" customFormat="1" ht="11.25" x14ac:dyDescent="0.2">
      <c r="A36" s="225"/>
      <c r="B36" s="226"/>
      <c r="C36" s="221" t="s">
        <v>132</v>
      </c>
      <c r="D36" s="227" t="s">
        <v>107</v>
      </c>
      <c r="E36" s="228" t="s">
        <v>181</v>
      </c>
      <c r="F36" s="226"/>
      <c r="G36" s="229">
        <v>561</v>
      </c>
      <c r="H36" s="226"/>
      <c r="I36" s="230"/>
      <c r="AF36" s="191" t="s">
        <v>132</v>
      </c>
      <c r="AG36" s="191" t="s">
        <v>103</v>
      </c>
      <c r="AH36" s="190" t="s">
        <v>103</v>
      </c>
      <c r="AI36" s="190" t="s">
        <v>134</v>
      </c>
      <c r="AJ36" s="190" t="s">
        <v>123</v>
      </c>
      <c r="AK36" s="191" t="s">
        <v>124</v>
      </c>
    </row>
    <row r="37" spans="1:51" s="190" customFormat="1" ht="11.25" x14ac:dyDescent="0.2">
      <c r="A37" s="225"/>
      <c r="B37" s="226"/>
      <c r="C37" s="221" t="s">
        <v>132</v>
      </c>
      <c r="D37" s="227" t="s">
        <v>108</v>
      </c>
      <c r="E37" s="228" t="s">
        <v>182</v>
      </c>
      <c r="F37" s="226"/>
      <c r="G37" s="229">
        <v>282</v>
      </c>
      <c r="H37" s="226"/>
      <c r="I37" s="230"/>
      <c r="AF37" s="191" t="s">
        <v>132</v>
      </c>
      <c r="AG37" s="191" t="s">
        <v>103</v>
      </c>
      <c r="AH37" s="190" t="s">
        <v>103</v>
      </c>
      <c r="AI37" s="190" t="s">
        <v>134</v>
      </c>
      <c r="AJ37" s="190" t="s">
        <v>123</v>
      </c>
      <c r="AK37" s="191" t="s">
        <v>124</v>
      </c>
    </row>
    <row r="38" spans="1:51" s="192" customFormat="1" ht="11.25" x14ac:dyDescent="0.2">
      <c r="A38" s="231"/>
      <c r="B38" s="232"/>
      <c r="C38" s="221" t="s">
        <v>132</v>
      </c>
      <c r="D38" s="233" t="s">
        <v>102</v>
      </c>
      <c r="E38" s="234" t="s">
        <v>140</v>
      </c>
      <c r="F38" s="232"/>
      <c r="G38" s="235">
        <v>843</v>
      </c>
      <c r="H38" s="232"/>
      <c r="I38" s="236"/>
      <c r="AF38" s="193" t="s">
        <v>132</v>
      </c>
      <c r="AG38" s="193" t="s">
        <v>103</v>
      </c>
      <c r="AH38" s="192" t="s">
        <v>130</v>
      </c>
      <c r="AI38" s="192" t="s">
        <v>134</v>
      </c>
      <c r="AJ38" s="192" t="s">
        <v>90</v>
      </c>
      <c r="AK38" s="193" t="s">
        <v>124</v>
      </c>
    </row>
    <row r="39" spans="1:51" s="180" customFormat="1" ht="16.5" customHeight="1" x14ac:dyDescent="0.2">
      <c r="A39" s="197"/>
      <c r="B39" s="237" t="s">
        <v>183</v>
      </c>
      <c r="C39" s="237" t="s">
        <v>161</v>
      </c>
      <c r="D39" s="238" t="s">
        <v>184</v>
      </c>
      <c r="E39" s="239" t="s">
        <v>185</v>
      </c>
      <c r="F39" s="240" t="s">
        <v>179</v>
      </c>
      <c r="G39" s="241">
        <v>566.61</v>
      </c>
      <c r="H39" s="254"/>
      <c r="I39" s="242">
        <f>ROUND(H39*G39,2)</f>
        <v>0</v>
      </c>
      <c r="AD39" s="186" t="s">
        <v>164</v>
      </c>
      <c r="AF39" s="186" t="s">
        <v>161</v>
      </c>
      <c r="AG39" s="186" t="s">
        <v>103</v>
      </c>
      <c r="AK39" s="179" t="s">
        <v>124</v>
      </c>
      <c r="AQ39" s="187" t="e">
        <f>IF(#REF!="základní",I39,0)</f>
        <v>#REF!</v>
      </c>
      <c r="AR39" s="187" t="e">
        <f>IF(#REF!="snížená",I39,0)</f>
        <v>#REF!</v>
      </c>
      <c r="AS39" s="187" t="e">
        <f>IF(#REF!="zákl. přenesená",I39,0)</f>
        <v>#REF!</v>
      </c>
      <c r="AT39" s="187" t="e">
        <f>IF(#REF!="sníž. přenesená",I39,0)</f>
        <v>#REF!</v>
      </c>
      <c r="AU39" s="187" t="e">
        <f>IF(#REF!="nulová",I39,0)</f>
        <v>#REF!</v>
      </c>
      <c r="AV39" s="179" t="s">
        <v>90</v>
      </c>
      <c r="AW39" s="187">
        <f>ROUND(H39*G39,2)</f>
        <v>0</v>
      </c>
      <c r="AX39" s="179" t="s">
        <v>130</v>
      </c>
      <c r="AY39" s="186" t="s">
        <v>186</v>
      </c>
    </row>
    <row r="40" spans="1:51" s="190" customFormat="1" ht="11.25" x14ac:dyDescent="0.2">
      <c r="A40" s="225"/>
      <c r="B40" s="226"/>
      <c r="C40" s="221" t="s">
        <v>132</v>
      </c>
      <c r="D40" s="227" t="s">
        <v>102</v>
      </c>
      <c r="E40" s="228" t="s">
        <v>187</v>
      </c>
      <c r="F40" s="226"/>
      <c r="G40" s="229">
        <v>566.61</v>
      </c>
      <c r="H40" s="226"/>
      <c r="I40" s="230"/>
      <c r="AF40" s="191" t="s">
        <v>132</v>
      </c>
      <c r="AG40" s="191" t="s">
        <v>103</v>
      </c>
      <c r="AH40" s="190" t="s">
        <v>103</v>
      </c>
      <c r="AI40" s="190" t="s">
        <v>134</v>
      </c>
      <c r="AJ40" s="190" t="s">
        <v>90</v>
      </c>
      <c r="AK40" s="191" t="s">
        <v>124</v>
      </c>
    </row>
    <row r="41" spans="1:51" s="180" customFormat="1" ht="16.5" customHeight="1" x14ac:dyDescent="0.2">
      <c r="A41" s="197"/>
      <c r="B41" s="237" t="s">
        <v>188</v>
      </c>
      <c r="C41" s="237" t="s">
        <v>161</v>
      </c>
      <c r="D41" s="238" t="s">
        <v>189</v>
      </c>
      <c r="E41" s="239" t="s">
        <v>190</v>
      </c>
      <c r="F41" s="240" t="s">
        <v>179</v>
      </c>
      <c r="G41" s="241">
        <v>284.82</v>
      </c>
      <c r="H41" s="254"/>
      <c r="I41" s="242">
        <f>ROUND(H41*G41,2)</f>
        <v>0</v>
      </c>
      <c r="AD41" s="186" t="s">
        <v>164</v>
      </c>
      <c r="AF41" s="186" t="s">
        <v>161</v>
      </c>
      <c r="AG41" s="186" t="s">
        <v>103</v>
      </c>
      <c r="AK41" s="179" t="s">
        <v>124</v>
      </c>
      <c r="AQ41" s="187" t="e">
        <f>IF(#REF!="základní",I41,0)</f>
        <v>#REF!</v>
      </c>
      <c r="AR41" s="187" t="e">
        <f>IF(#REF!="snížená",I41,0)</f>
        <v>#REF!</v>
      </c>
      <c r="AS41" s="187" t="e">
        <f>IF(#REF!="zákl. přenesená",I41,0)</f>
        <v>#REF!</v>
      </c>
      <c r="AT41" s="187" t="e">
        <f>IF(#REF!="sníž. přenesená",I41,0)</f>
        <v>#REF!</v>
      </c>
      <c r="AU41" s="187" t="e">
        <f>IF(#REF!="nulová",I41,0)</f>
        <v>#REF!</v>
      </c>
      <c r="AV41" s="179" t="s">
        <v>90</v>
      </c>
      <c r="AW41" s="187">
        <f>ROUND(H41*G41,2)</f>
        <v>0</v>
      </c>
      <c r="AX41" s="179" t="s">
        <v>130</v>
      </c>
      <c r="AY41" s="186" t="s">
        <v>191</v>
      </c>
    </row>
    <row r="42" spans="1:51" s="190" customFormat="1" ht="11.25" x14ac:dyDescent="0.2">
      <c r="A42" s="225"/>
      <c r="B42" s="226"/>
      <c r="C42" s="221" t="s">
        <v>132</v>
      </c>
      <c r="D42" s="227" t="s">
        <v>102</v>
      </c>
      <c r="E42" s="228" t="s">
        <v>192</v>
      </c>
      <c r="F42" s="226"/>
      <c r="G42" s="229">
        <v>284.82</v>
      </c>
      <c r="H42" s="226"/>
      <c r="I42" s="230"/>
      <c r="AF42" s="191" t="s">
        <v>132</v>
      </c>
      <c r="AG42" s="191" t="s">
        <v>103</v>
      </c>
      <c r="AH42" s="190" t="s">
        <v>103</v>
      </c>
      <c r="AI42" s="190" t="s">
        <v>134</v>
      </c>
      <c r="AJ42" s="190" t="s">
        <v>90</v>
      </c>
      <c r="AK42" s="191" t="s">
        <v>124</v>
      </c>
    </row>
    <row r="43" spans="1:51" s="180" customFormat="1" ht="24.2" customHeight="1" x14ac:dyDescent="0.2">
      <c r="A43" s="197"/>
      <c r="B43" s="213" t="s">
        <v>193</v>
      </c>
      <c r="C43" s="213" t="s">
        <v>126</v>
      </c>
      <c r="D43" s="214" t="s">
        <v>194</v>
      </c>
      <c r="E43" s="215" t="s">
        <v>195</v>
      </c>
      <c r="F43" s="216" t="s">
        <v>179</v>
      </c>
      <c r="G43" s="217">
        <f>G46</f>
        <v>374.5</v>
      </c>
      <c r="H43" s="253"/>
      <c r="I43" s="218">
        <f>ROUND(H43*G43,2)</f>
        <v>0</v>
      </c>
      <c r="AD43" s="186" t="s">
        <v>130</v>
      </c>
      <c r="AF43" s="186" t="s">
        <v>126</v>
      </c>
      <c r="AG43" s="186" t="s">
        <v>103</v>
      </c>
      <c r="AK43" s="179" t="s">
        <v>124</v>
      </c>
      <c r="AQ43" s="187" t="e">
        <f>IF(#REF!="základní",I43,0)</f>
        <v>#REF!</v>
      </c>
      <c r="AR43" s="187" t="e">
        <f>IF(#REF!="snížená",I43,0)</f>
        <v>#REF!</v>
      </c>
      <c r="AS43" s="187" t="e">
        <f>IF(#REF!="zákl. přenesená",I43,0)</f>
        <v>#REF!</v>
      </c>
      <c r="AT43" s="187" t="e">
        <f>IF(#REF!="sníž. přenesená",I43,0)</f>
        <v>#REF!</v>
      </c>
      <c r="AU43" s="187" t="e">
        <f>IF(#REF!="nulová",I43,0)</f>
        <v>#REF!</v>
      </c>
      <c r="AV43" s="179" t="s">
        <v>90</v>
      </c>
      <c r="AW43" s="187">
        <f>ROUND(H43*G43,2)</f>
        <v>0</v>
      </c>
      <c r="AX43" s="179" t="s">
        <v>130</v>
      </c>
      <c r="AY43" s="186" t="s">
        <v>196</v>
      </c>
    </row>
    <row r="44" spans="1:51" s="190" customFormat="1" ht="11.25" x14ac:dyDescent="0.2">
      <c r="A44" s="225"/>
      <c r="B44" s="226"/>
      <c r="C44" s="221" t="s">
        <v>132</v>
      </c>
      <c r="D44" s="227" t="s">
        <v>109</v>
      </c>
      <c r="E44" s="228" t="s">
        <v>222</v>
      </c>
      <c r="F44" s="226"/>
      <c r="G44" s="229">
        <f>881-520</f>
        <v>361</v>
      </c>
      <c r="H44" s="226"/>
      <c r="I44" s="230"/>
      <c r="AF44" s="191" t="s">
        <v>132</v>
      </c>
      <c r="AG44" s="191" t="s">
        <v>103</v>
      </c>
      <c r="AH44" s="190" t="s">
        <v>103</v>
      </c>
      <c r="AI44" s="190" t="s">
        <v>134</v>
      </c>
      <c r="AJ44" s="190" t="s">
        <v>123</v>
      </c>
      <c r="AK44" s="191" t="s">
        <v>124</v>
      </c>
    </row>
    <row r="45" spans="1:51" s="190" customFormat="1" ht="11.25" x14ac:dyDescent="0.2">
      <c r="A45" s="225"/>
      <c r="B45" s="226"/>
      <c r="C45" s="221" t="s">
        <v>132</v>
      </c>
      <c r="D45" s="227" t="s">
        <v>110</v>
      </c>
      <c r="E45" s="228" t="s">
        <v>197</v>
      </c>
      <c r="F45" s="226"/>
      <c r="G45" s="229">
        <v>13.5</v>
      </c>
      <c r="H45" s="226"/>
      <c r="I45" s="230"/>
      <c r="AF45" s="191" t="s">
        <v>132</v>
      </c>
      <c r="AG45" s="191" t="s">
        <v>103</v>
      </c>
      <c r="AH45" s="190" t="s">
        <v>103</v>
      </c>
      <c r="AI45" s="190" t="s">
        <v>134</v>
      </c>
      <c r="AJ45" s="190" t="s">
        <v>123</v>
      </c>
      <c r="AK45" s="191" t="s">
        <v>124</v>
      </c>
    </row>
    <row r="46" spans="1:51" s="192" customFormat="1" ht="11.25" x14ac:dyDescent="0.2">
      <c r="A46" s="231"/>
      <c r="B46" s="232"/>
      <c r="C46" s="221" t="s">
        <v>132</v>
      </c>
      <c r="D46" s="233" t="s">
        <v>102</v>
      </c>
      <c r="E46" s="234" t="s">
        <v>140</v>
      </c>
      <c r="F46" s="232"/>
      <c r="G46" s="235">
        <f>SUM(G44:G45)</f>
        <v>374.5</v>
      </c>
      <c r="H46" s="232"/>
      <c r="I46" s="236"/>
      <c r="AF46" s="193" t="s">
        <v>132</v>
      </c>
      <c r="AG46" s="193" t="s">
        <v>103</v>
      </c>
      <c r="AH46" s="192" t="s">
        <v>130</v>
      </c>
      <c r="AI46" s="192" t="s">
        <v>134</v>
      </c>
      <c r="AJ46" s="192" t="s">
        <v>90</v>
      </c>
      <c r="AK46" s="193" t="s">
        <v>124</v>
      </c>
    </row>
    <row r="47" spans="1:51" s="180" customFormat="1" ht="16.5" customHeight="1" x14ac:dyDescent="0.2">
      <c r="A47" s="197"/>
      <c r="B47" s="237" t="s">
        <v>198</v>
      </c>
      <c r="C47" s="237" t="s">
        <v>161</v>
      </c>
      <c r="D47" s="238" t="s">
        <v>199</v>
      </c>
      <c r="E47" s="239" t="s">
        <v>200</v>
      </c>
      <c r="F47" s="240" t="s">
        <v>179</v>
      </c>
      <c r="G47" s="241">
        <f>G48</f>
        <v>378.245</v>
      </c>
      <c r="H47" s="254"/>
      <c r="I47" s="242">
        <f>ROUND(H47*G47,2)</f>
        <v>0</v>
      </c>
      <c r="AD47" s="186" t="s">
        <v>164</v>
      </c>
      <c r="AF47" s="186" t="s">
        <v>161</v>
      </c>
      <c r="AG47" s="186" t="s">
        <v>103</v>
      </c>
      <c r="AK47" s="179" t="s">
        <v>124</v>
      </c>
      <c r="AQ47" s="187" t="e">
        <f>IF(#REF!="základní",I47,0)</f>
        <v>#REF!</v>
      </c>
      <c r="AR47" s="187" t="e">
        <f>IF(#REF!="snížená",I47,0)</f>
        <v>#REF!</v>
      </c>
      <c r="AS47" s="187" t="e">
        <f>IF(#REF!="zákl. přenesená",I47,0)</f>
        <v>#REF!</v>
      </c>
      <c r="AT47" s="187" t="e">
        <f>IF(#REF!="sníž. přenesená",I47,0)</f>
        <v>#REF!</v>
      </c>
      <c r="AU47" s="187" t="e">
        <f>IF(#REF!="nulová",I47,0)</f>
        <v>#REF!</v>
      </c>
      <c r="AV47" s="179" t="s">
        <v>90</v>
      </c>
      <c r="AW47" s="187">
        <f>ROUND(H47*G47,2)</f>
        <v>0</v>
      </c>
      <c r="AX47" s="179" t="s">
        <v>130</v>
      </c>
      <c r="AY47" s="186" t="s">
        <v>201</v>
      </c>
    </row>
    <row r="48" spans="1:51" s="190" customFormat="1" ht="11.25" x14ac:dyDescent="0.2">
      <c r="A48" s="225"/>
      <c r="B48" s="226"/>
      <c r="C48" s="221" t="s">
        <v>132</v>
      </c>
      <c r="D48" s="227" t="s">
        <v>102</v>
      </c>
      <c r="E48" s="228" t="s">
        <v>202</v>
      </c>
      <c r="F48" s="226"/>
      <c r="G48" s="229">
        <f>374.5*1.01</f>
        <v>378.245</v>
      </c>
      <c r="H48" s="226"/>
      <c r="I48" s="230"/>
      <c r="AF48" s="191" t="s">
        <v>132</v>
      </c>
      <c r="AG48" s="191" t="s">
        <v>103</v>
      </c>
      <c r="AH48" s="190" t="s">
        <v>103</v>
      </c>
      <c r="AI48" s="190" t="s">
        <v>134</v>
      </c>
      <c r="AJ48" s="190" t="s">
        <v>90</v>
      </c>
      <c r="AK48" s="191" t="s">
        <v>124</v>
      </c>
    </row>
    <row r="49" spans="1:51" s="180" customFormat="1" ht="16.5" customHeight="1" x14ac:dyDescent="0.2">
      <c r="A49" s="197"/>
      <c r="B49" s="237" t="s">
        <v>203</v>
      </c>
      <c r="C49" s="237" t="s">
        <v>161</v>
      </c>
      <c r="D49" s="238" t="s">
        <v>204</v>
      </c>
      <c r="E49" s="239" t="s">
        <v>205</v>
      </c>
      <c r="F49" s="240" t="s">
        <v>179</v>
      </c>
      <c r="G49" s="241">
        <v>14.175000000000001</v>
      </c>
      <c r="H49" s="254"/>
      <c r="I49" s="242">
        <f>ROUND(H49*G49,2)</f>
        <v>0</v>
      </c>
      <c r="AD49" s="186" t="s">
        <v>164</v>
      </c>
      <c r="AF49" s="186" t="s">
        <v>161</v>
      </c>
      <c r="AG49" s="186" t="s">
        <v>103</v>
      </c>
      <c r="AK49" s="179" t="s">
        <v>124</v>
      </c>
      <c r="AQ49" s="187" t="e">
        <f>IF(#REF!="základní",I49,0)</f>
        <v>#REF!</v>
      </c>
      <c r="AR49" s="187" t="e">
        <f>IF(#REF!="snížená",I49,0)</f>
        <v>#REF!</v>
      </c>
      <c r="AS49" s="187" t="e">
        <f>IF(#REF!="zákl. přenesená",I49,0)</f>
        <v>#REF!</v>
      </c>
      <c r="AT49" s="187" t="e">
        <f>IF(#REF!="sníž. přenesená",I49,0)</f>
        <v>#REF!</v>
      </c>
      <c r="AU49" s="187" t="e">
        <f>IF(#REF!="nulová",I49,0)</f>
        <v>#REF!</v>
      </c>
      <c r="AV49" s="179" t="s">
        <v>90</v>
      </c>
      <c r="AW49" s="187">
        <f>ROUND(H49*G49,2)</f>
        <v>0</v>
      </c>
      <c r="AX49" s="179" t="s">
        <v>130</v>
      </c>
      <c r="AY49" s="186" t="s">
        <v>206</v>
      </c>
    </row>
    <row r="50" spans="1:51" s="190" customFormat="1" ht="11.25" x14ac:dyDescent="0.2">
      <c r="A50" s="225"/>
      <c r="B50" s="226"/>
      <c r="C50" s="221" t="s">
        <v>132</v>
      </c>
      <c r="D50" s="227" t="s">
        <v>102</v>
      </c>
      <c r="E50" s="228" t="s">
        <v>207</v>
      </c>
      <c r="F50" s="226"/>
      <c r="G50" s="229">
        <v>14.175000000000001</v>
      </c>
      <c r="H50" s="226"/>
      <c r="I50" s="230"/>
      <c r="AF50" s="191" t="s">
        <v>132</v>
      </c>
      <c r="AG50" s="191" t="s">
        <v>103</v>
      </c>
      <c r="AH50" s="190" t="s">
        <v>103</v>
      </c>
      <c r="AI50" s="190" t="s">
        <v>134</v>
      </c>
      <c r="AJ50" s="190" t="s">
        <v>90</v>
      </c>
      <c r="AK50" s="191" t="s">
        <v>124</v>
      </c>
    </row>
    <row r="51" spans="1:51" s="180" customFormat="1" ht="24.2" customHeight="1" x14ac:dyDescent="0.2">
      <c r="A51" s="197"/>
      <c r="B51" s="213" t="s">
        <v>208</v>
      </c>
      <c r="C51" s="213" t="s">
        <v>126</v>
      </c>
      <c r="D51" s="214" t="s">
        <v>209</v>
      </c>
      <c r="E51" s="215" t="s">
        <v>210</v>
      </c>
      <c r="F51" s="216" t="s">
        <v>179</v>
      </c>
      <c r="G51" s="217">
        <v>88</v>
      </c>
      <c r="H51" s="253"/>
      <c r="I51" s="218">
        <f>ROUND(H51*G51,2)</f>
        <v>0</v>
      </c>
      <c r="AD51" s="186" t="s">
        <v>130</v>
      </c>
      <c r="AF51" s="186" t="s">
        <v>126</v>
      </c>
      <c r="AG51" s="186" t="s">
        <v>103</v>
      </c>
      <c r="AK51" s="179" t="s">
        <v>124</v>
      </c>
      <c r="AQ51" s="187" t="e">
        <f>IF(#REF!="základní",I51,0)</f>
        <v>#REF!</v>
      </c>
      <c r="AR51" s="187" t="e">
        <f>IF(#REF!="snížená",I51,0)</f>
        <v>#REF!</v>
      </c>
      <c r="AS51" s="187" t="e">
        <f>IF(#REF!="zákl. přenesená",I51,0)</f>
        <v>#REF!</v>
      </c>
      <c r="AT51" s="187" t="e">
        <f>IF(#REF!="sníž. přenesená",I51,0)</f>
        <v>#REF!</v>
      </c>
      <c r="AU51" s="187" t="e">
        <f>IF(#REF!="nulová",I51,0)</f>
        <v>#REF!</v>
      </c>
      <c r="AV51" s="179" t="s">
        <v>90</v>
      </c>
      <c r="AW51" s="187">
        <f>ROUND(H51*G51,2)</f>
        <v>0</v>
      </c>
      <c r="AX51" s="179" t="s">
        <v>130</v>
      </c>
      <c r="AY51" s="186" t="s">
        <v>211</v>
      </c>
    </row>
    <row r="52" spans="1:51" s="190" customFormat="1" ht="11.25" x14ac:dyDescent="0.2">
      <c r="A52" s="225"/>
      <c r="B52" s="226"/>
      <c r="C52" s="221" t="s">
        <v>132</v>
      </c>
      <c r="D52" s="227" t="s">
        <v>102</v>
      </c>
      <c r="E52" s="228" t="s">
        <v>212</v>
      </c>
      <c r="F52" s="226"/>
      <c r="G52" s="229">
        <v>88</v>
      </c>
      <c r="H52" s="226"/>
      <c r="I52" s="230"/>
      <c r="AF52" s="191" t="s">
        <v>132</v>
      </c>
      <c r="AG52" s="191" t="s">
        <v>103</v>
      </c>
      <c r="AH52" s="190" t="s">
        <v>103</v>
      </c>
      <c r="AI52" s="190" t="s">
        <v>134</v>
      </c>
      <c r="AJ52" s="190" t="s">
        <v>90</v>
      </c>
      <c r="AK52" s="191" t="s">
        <v>124</v>
      </c>
    </row>
    <row r="53" spans="1:51" s="180" customFormat="1" ht="24.2" customHeight="1" x14ac:dyDescent="0.2">
      <c r="A53" s="197"/>
      <c r="B53" s="237" t="s">
        <v>213</v>
      </c>
      <c r="C53" s="237" t="s">
        <v>161</v>
      </c>
      <c r="D53" s="238" t="s">
        <v>214</v>
      </c>
      <c r="E53" s="239" t="s">
        <v>215</v>
      </c>
      <c r="F53" s="240" t="s">
        <v>179</v>
      </c>
      <c r="G53" s="241">
        <v>89.76</v>
      </c>
      <c r="H53" s="254"/>
      <c r="I53" s="242">
        <f>ROUND(H53*G53,2)</f>
        <v>0</v>
      </c>
      <c r="AD53" s="186" t="s">
        <v>164</v>
      </c>
      <c r="AF53" s="186" t="s">
        <v>161</v>
      </c>
      <c r="AG53" s="186" t="s">
        <v>103</v>
      </c>
      <c r="AK53" s="179" t="s">
        <v>124</v>
      </c>
      <c r="AQ53" s="187" t="e">
        <f>IF(#REF!="základní",I53,0)</f>
        <v>#REF!</v>
      </c>
      <c r="AR53" s="187" t="e">
        <f>IF(#REF!="snížená",I53,0)</f>
        <v>#REF!</v>
      </c>
      <c r="AS53" s="187" t="e">
        <f>IF(#REF!="zákl. přenesená",I53,0)</f>
        <v>#REF!</v>
      </c>
      <c r="AT53" s="187" t="e">
        <f>IF(#REF!="sníž. přenesená",I53,0)</f>
        <v>#REF!</v>
      </c>
      <c r="AU53" s="187" t="e">
        <f>IF(#REF!="nulová",I53,0)</f>
        <v>#REF!</v>
      </c>
      <c r="AV53" s="179" t="s">
        <v>90</v>
      </c>
      <c r="AW53" s="187">
        <f>ROUND(H53*G53,2)</f>
        <v>0</v>
      </c>
      <c r="AX53" s="179" t="s">
        <v>130</v>
      </c>
      <c r="AY53" s="186" t="s">
        <v>216</v>
      </c>
    </row>
    <row r="54" spans="1:51" s="190" customFormat="1" ht="11.25" x14ac:dyDescent="0.2">
      <c r="A54" s="225"/>
      <c r="B54" s="226"/>
      <c r="C54" s="221" t="s">
        <v>132</v>
      </c>
      <c r="D54" s="227" t="s">
        <v>102</v>
      </c>
      <c r="E54" s="228" t="s">
        <v>217</v>
      </c>
      <c r="F54" s="226"/>
      <c r="G54" s="229">
        <v>89.76</v>
      </c>
      <c r="H54" s="226"/>
      <c r="I54" s="230"/>
      <c r="AF54" s="191" t="s">
        <v>132</v>
      </c>
      <c r="AG54" s="191" t="s">
        <v>103</v>
      </c>
      <c r="AH54" s="190" t="s">
        <v>103</v>
      </c>
      <c r="AI54" s="190" t="s">
        <v>134</v>
      </c>
      <c r="AJ54" s="190" t="s">
        <v>90</v>
      </c>
      <c r="AK54" s="191" t="s">
        <v>124</v>
      </c>
    </row>
    <row r="55" spans="1:51" s="180" customFormat="1" ht="6.95" customHeight="1" x14ac:dyDescent="0.2">
      <c r="A55" s="243"/>
      <c r="B55" s="244"/>
      <c r="C55" s="244"/>
      <c r="D55" s="244"/>
      <c r="E55" s="244"/>
      <c r="F55" s="244"/>
      <c r="G55" s="244"/>
      <c r="H55" s="244"/>
      <c r="I55" s="245"/>
    </row>
  </sheetData>
  <sheetProtection algorithmName="SHA-512" hashValue="m4tewwcVrI2ZW+S+SuGlAviMHNnTKbchbfCPbtM/TIEAry0535ROCHoQ6uCPJNaCP7s2WTA9W7V3Gbf2qdzR+g==" saltValue="tQVcISuAnUCx6u1XVC1ZFQ==" spinCount="100000" sheet="1" objects="1" scenarios="1"/>
  <pageMargins left="0.7" right="0.7" top="0.78740157499999996" bottom="0.78740157499999996" header="0.3" footer="0.3"/>
  <pageSetup paperSize="9" scale="83" orientation="portrait" horizontalDpi="4294967293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SO 31 Rekapitulace</vt:lpstr>
      <vt:lpstr>SO 31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31 Rekapitulace'!Názvy_tisku</vt:lpstr>
      <vt:lpstr>oadresa</vt:lpstr>
      <vt:lpstr>Stavba!Objednatel</vt:lpstr>
      <vt:lpstr>Stavba!Objekt</vt:lpstr>
      <vt:lpstr>'SO 31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2023-11-21T11:33:36Z</dcterms:modified>
</cp:coreProperties>
</file>