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49216" windowWidth="29040" windowHeight="15990" activeTab="0"/>
  </bookViews>
  <sheets>
    <sheet name="Souhrn" sheetId="1" r:id="rId1"/>
    <sheet name="VORN" sheetId="2" r:id="rId2"/>
    <sheet name="SO101" sheetId="15" r:id="rId3"/>
    <sheet name="SO102" sheetId="16" r:id="rId4"/>
    <sheet name="SO401" sheetId="8" r:id="rId5"/>
    <sheet name="SO402" sheetId="10" r:id="rId6"/>
    <sheet name="SO403" sheetId="11" r:id="rId7"/>
    <sheet name="SO404" sheetId="12" r:id="rId8"/>
    <sheet name="SO801" sheetId="13" r:id="rId9"/>
    <sheet name="SO802" sheetId="14" r:id="rId10"/>
  </sheets>
  <externalReferences>
    <externalReference r:id="rId13"/>
    <externalReference r:id="rId14"/>
  </externalReferences>
  <definedNames>
    <definedName name="cisloobjektu">'[1]Krycí list'!$A$5</definedName>
    <definedName name="cislostavby">'[1]Krycí list'!$A$7</definedName>
    <definedName name="nazevobjektu">'[1]Krycí list'!$C$5</definedName>
    <definedName name="nazevstavby">'[1]Krycí list'!$C$7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<sst xmlns="http://schemas.openxmlformats.org/spreadsheetml/2006/main" count="5273" uniqueCount="1305">
  <si>
    <t>Název stavby:</t>
  </si>
  <si>
    <t>Revitalizace lokality Martinské náměstí, Třebíč</t>
  </si>
  <si>
    <t>Doba výstavby:</t>
  </si>
  <si>
    <t xml:space="preserve"> </t>
  </si>
  <si>
    <t>Objednatel:</t>
  </si>
  <si>
    <t>město Třebíč, Karlovo náměstí 104/55, 674 01 Třebíč</t>
  </si>
  <si>
    <t>Druh stavby:</t>
  </si>
  <si>
    <t>SO 101 – Komunikace a zpevněné plochy  ul. Hasskova a Martinské nám.</t>
  </si>
  <si>
    <t>Začátek výstavby:</t>
  </si>
  <si>
    <t>Projektant:</t>
  </si>
  <si>
    <t>MATULA projekt s.r.o., Jana Babáka 11, 612 00 Brno</t>
  </si>
  <si>
    <t>Lokalita:</t>
  </si>
  <si>
    <t>Třebíč, Vysočina</t>
  </si>
  <si>
    <t>Konec výstavby:</t>
  </si>
  <si>
    <t>Zhotovitel:</t>
  </si>
  <si>
    <t> </t>
  </si>
  <si>
    <t>JKSO:</t>
  </si>
  <si>
    <t>Zpracováno dne:</t>
  </si>
  <si>
    <t>16.01.2023</t>
  </si>
  <si>
    <t>Zpracoval:</t>
  </si>
  <si>
    <t>Ing. Radka Matulová</t>
  </si>
  <si>
    <t>Č</t>
  </si>
  <si>
    <t>Kód</t>
  </si>
  <si>
    <t>Zkrácený popis / Varianta</t>
  </si>
  <si>
    <t>MJ</t>
  </si>
  <si>
    <t>Množství</t>
  </si>
  <si>
    <t>Cena/MJ</t>
  </si>
  <si>
    <t>Náklady (Kč)</t>
  </si>
  <si>
    <t>Cenová</t>
  </si>
  <si>
    <t>ISWORK</t>
  </si>
  <si>
    <t>GROUPCODE</t>
  </si>
  <si>
    <t>Rozměry</t>
  </si>
  <si>
    <t>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</si>
  <si>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</si>
  <si>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</si>
  <si>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</si>
  <si>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</si>
  <si>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</si>
  <si>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</si>
  <si>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</si>
  <si>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</si>
  <si>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</si>
  <si>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</si>
  <si>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</si>
  <si>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</si>
  <si>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</si>
  <si>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</si>
  <si>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</si>
  <si>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</si>
  <si>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/>
  </si>
  <si>
    <t>11</t>
  </si>
  <si>
    <t>Přípravné a přidružené práce</t>
  </si>
  <si>
    <t>1</t>
  </si>
  <si>
    <t>112101101R00</t>
  </si>
  <si>
    <t>Kácení stromů listnatých o průměru kmene 10-30 cm</t>
  </si>
  <si>
    <t>kus</t>
  </si>
  <si>
    <t>11_</t>
  </si>
  <si>
    <t>1_</t>
  </si>
  <si>
    <t>_</t>
  </si>
  <si>
    <t>6</t>
  </si>
  <si>
    <t>RTS komentář:</t>
  </si>
  <si>
    <t>Orientační tabulka počtu stromů při kácení souvislého porostu.  Les Průměr  hustý  střední  řídký v cm  Průměrný počet stromů na 1 ha  10-16  1390  830  380 16-24  850  520  290 24-30  520  340  160 nad 30  520  200  80</t>
  </si>
  <si>
    <t>2</t>
  </si>
  <si>
    <t>112101121R00</t>
  </si>
  <si>
    <t>Kácení stromů jehličnatých o průměru kmene 10-30cm</t>
  </si>
  <si>
    <t>3</t>
  </si>
  <si>
    <t>112101122R00</t>
  </si>
  <si>
    <t>Kácení stromů jehličnatých o průměru kmene 30-50cm</t>
  </si>
  <si>
    <t>4</t>
  </si>
  <si>
    <t>112201101R00</t>
  </si>
  <si>
    <t>Odstranění pařezů pod úrovní, o průměru 10 - 30 cm</t>
  </si>
  <si>
    <t>8</t>
  </si>
  <si>
    <t>Položka se používá bez ohledu na technologii odstranění pařezu.  Orientační tabulka počtu pařezů při odstranění ze souvislé plochy  Les Průměr  hustý  střední  řídký v cm  Průměrný počet pařezů na 1 ha  10-16  1390  830  380 16-24  850  520  290 24-30  520  340  160 nad 30  520  200  80</t>
  </si>
  <si>
    <t>5</t>
  </si>
  <si>
    <t>112201102R00</t>
  </si>
  <si>
    <t>Odstranění pařezů pod úrovní, o průměru 30 - 50 cm</t>
  </si>
  <si>
    <t>Položka se použivá bez ohledu na technologii odstranění pařezu  Orientační tabulka počtu pařezů při odstranění ze souvislé plochy  Les Průměr  hustý  střední  řídký v cm  Průměrný počet pařezů na 1 ha  10-16  1390  830  380 16-24  850  520  290 24-30  520  340  160 nad 30  520  200  80</t>
  </si>
  <si>
    <t>111201101R00</t>
  </si>
  <si>
    <t>Odstranění křovin i s kořeny na ploše do 1000 m2</t>
  </si>
  <si>
    <t>m2</t>
  </si>
  <si>
    <t>4+12+35+6+3,5</t>
  </si>
  <si>
    <t>Položka neobsahuje odstranění vytěženého porostu. Tyto práce se ocení samostatně buď jako spálení křovin nebo jako vodorovné přemístění na příslušnou vzdálenost. Položka je určena i pro odstranění stromů o průměru kmene do 10 cm. Součástí položky je i příp. nutné odklizení křovin a stromů na hromady do 50 m nebo s naložením na dopravní prostředek</t>
  </si>
  <si>
    <t>7</t>
  </si>
  <si>
    <t>113106211R00</t>
  </si>
  <si>
    <t>Rozebrání dlažeb z velkých kostek v kam. těženém</t>
  </si>
  <si>
    <t>532</t>
  </si>
  <si>
    <t>"kočičí hlavy"</t>
  </si>
  <si>
    <t>-104,51-49,5</t>
  </si>
  <si>
    <t>*</t>
  </si>
  <si>
    <t>-63,167-21</t>
  </si>
  <si>
    <t>**</t>
  </si>
  <si>
    <t>113106221R00</t>
  </si>
  <si>
    <t>Rozebrání dlažeb z drobných kostek v kam. těženém</t>
  </si>
  <si>
    <t>1134</t>
  </si>
  <si>
    <t>kostky 8/10</t>
  </si>
  <si>
    <t>96</t>
  </si>
  <si>
    <t>kam. odseky nepravidelných tvarů</t>
  </si>
  <si>
    <t>-55,329-58,3-131,194-42,9</t>
  </si>
  <si>
    <t>*  kostky</t>
  </si>
  <si>
    <t>-95,761-25</t>
  </si>
  <si>
    <t>**  kostky</t>
  </si>
  <si>
    <t>9</t>
  </si>
  <si>
    <t>113106231R00</t>
  </si>
  <si>
    <t>Rozebrání dlažeb ze zámkové dlažby v kamenivu</t>
  </si>
  <si>
    <t>1169</t>
  </si>
  <si>
    <t>"šatovka"</t>
  </si>
  <si>
    <t>81</t>
  </si>
  <si>
    <t>-64,066-23,1-104,104-59,4</t>
  </si>
  <si>
    <t>*  šatovka</t>
  </si>
  <si>
    <t>-133,805-16-11</t>
  </si>
  <si>
    <t>**  šatovka</t>
  </si>
  <si>
    <t>10</t>
  </si>
  <si>
    <t>113-01 VD</t>
  </si>
  <si>
    <t>Příplatek za šetrné rozebrání dlažeb ("Šatovka+kočičí hlavy") - ručně!</t>
  </si>
  <si>
    <t>532+1169</t>
  </si>
  <si>
    <t>-104,51-49,5-64,066-23,1-104,104-59,4</t>
  </si>
  <si>
    <t>-63,167-21-133,805-16-11</t>
  </si>
  <si>
    <t>113-02 VD</t>
  </si>
  <si>
    <t>uložení dlažby na palety</t>
  </si>
  <si>
    <t>1169*0,3</t>
  </si>
  <si>
    <t>šatovka pro opětovné použití</t>
  </si>
  <si>
    <t>(-64,066-23,1-104,104-59,4)*0,3</t>
  </si>
  <si>
    <t>(-133,805-16-11)*0,3</t>
  </si>
  <si>
    <t>12</t>
  </si>
  <si>
    <t>113106111R00</t>
  </si>
  <si>
    <t>Rozebrání dlažeb z mozaiky</t>
  </si>
  <si>
    <t>272</t>
  </si>
  <si>
    <t>šedá</t>
  </si>
  <si>
    <t>97</t>
  </si>
  <si>
    <t>černá/růžová</t>
  </si>
  <si>
    <t>-42,9</t>
  </si>
  <si>
    <t>-5-12</t>
  </si>
  <si>
    <t>13</t>
  </si>
  <si>
    <t>113106121R00</t>
  </si>
  <si>
    <t>Rozebrání dlažeb z betonových dlaždic na sucho</t>
  </si>
  <si>
    <t>447</t>
  </si>
  <si>
    <t>dlažba 30x30 cm</t>
  </si>
  <si>
    <t>12,5</t>
  </si>
  <si>
    <t>dlažba 50x50 cm</t>
  </si>
  <si>
    <t>-27,5-60,5</t>
  </si>
  <si>
    <t>-9-26</t>
  </si>
  <si>
    <t>Položka není určena pro rozebrání dlažeb uložených do betonového lože a pro rozebrání dlažeb z mozaiky uložených do cementové malty. V položce nejsou zakalkulovány náklady na popř. nutné očištění vybouraných betonových dlaždic</t>
  </si>
  <si>
    <t>14</t>
  </si>
  <si>
    <t>113151114R00</t>
  </si>
  <si>
    <t>Fréz.živič.krytu pl.do 500 m2,pruh do 75 cm,tl.5cm</t>
  </si>
  <si>
    <t>93</t>
  </si>
  <si>
    <t>15</t>
  </si>
  <si>
    <t>113108409R00</t>
  </si>
  <si>
    <t>Odstranění asfaltové vrstvy pl.nad 50 m2, tl. 9 cm</t>
  </si>
  <si>
    <t>87</t>
  </si>
  <si>
    <t>Položka není určena pro odstranění podkladu nebo krytu frézováním. Pro volbu položky z hlediska množství se uvažuje každá souvisle odstraňovaná plocha krytu nebo podkladu stejného druhu samostatně.Odstraňuje-li se několik vrstev vozovky najednou, jednotlivé vrstvy se oceňují každá samostatně</t>
  </si>
  <si>
    <t>16</t>
  </si>
  <si>
    <t>113108405R00</t>
  </si>
  <si>
    <t>Odstranění asfaltové vrstvy pl.nad 50 m2, tl. 5 cm</t>
  </si>
  <si>
    <t>114</t>
  </si>
  <si>
    <t>litý asfalt</t>
  </si>
  <si>
    <t>17</t>
  </si>
  <si>
    <t>113109410R00</t>
  </si>
  <si>
    <t>Odstranění podkladu pl.nad 50 m2, beton, tl. 10 cm</t>
  </si>
  <si>
    <t>podklad pod litým asf.</t>
  </si>
  <si>
    <t>Položka je určena i pro odstranění dlažeb uložených do betonového lože a dlažeb z mozaiky uložených do cementové malty nebo podkladu ze zemin stabilizovaných cementem. Pro volbu položky z hlediska množství se uvažuje každá souvisle odstraňovaná plocha krytu nebo podkladu stejného druhu samostatně.Odstraňuje-li se několik vrstev vozovky najednou, jednotlivé vrstvy se oceňují každá samostatně</t>
  </si>
  <si>
    <t>18</t>
  </si>
  <si>
    <t>113111220R00</t>
  </si>
  <si>
    <t>Odstranění podkl.pl.nad 50 m2,kam.zpev.cem.tl.20cm</t>
  </si>
  <si>
    <t>85</t>
  </si>
  <si>
    <t>Pro volbu položky z hlediska množství se uvažuje každá souvisle odstraňovaná plocha krytu nebo podkladu stejného druhu samostatně.Odstraňuje-li se několik vrstev vozovky najednou, jednotlivé vrstvy se oceňují každá samostatně</t>
  </si>
  <si>
    <t>19</t>
  </si>
  <si>
    <t>113107640R00</t>
  </si>
  <si>
    <t>Odstranění podkladu nad 50 m2,kam.drcené tl.40 cm</t>
  </si>
  <si>
    <t>1169+1134+532</t>
  </si>
  <si>
    <t>vozovky</t>
  </si>
  <si>
    <t>0,6*480</t>
  </si>
  <si>
    <t>provizorní zapravení</t>
  </si>
  <si>
    <t>-64,066-23,1-104,104-59,4-104,51-49,5-55,329-58,3-131,194-42,9</t>
  </si>
  <si>
    <t>-133,805-16-11-63,167-21-95,761-25</t>
  </si>
  <si>
    <t>Položka je určena i pro odstranění podkladů nebo krytů ze zemin stabilizovaných vápnem. Pro volbu položky z hlediska množství se uvažuje každá souvisle odstraňovaná plocha krytu nebo podkladu stejného druhu samostatně.Odstraňuje-li se několik vrstev vozovky najednou, jednotlivé vrstvy se oceňují každá samostatně</t>
  </si>
  <si>
    <t>20</t>
  </si>
  <si>
    <t>113107620R00</t>
  </si>
  <si>
    <t>Odstranění podkladu nad 50 m2,kam.drcené tl.20 cm</t>
  </si>
  <si>
    <t>272+97+81+447+12,5+96+114</t>
  </si>
  <si>
    <t>chodníky</t>
  </si>
  <si>
    <t>-42,9-27,5-60,5</t>
  </si>
  <si>
    <t>-5-12-9-26</t>
  </si>
  <si>
    <t>21</t>
  </si>
  <si>
    <t>113107615R00</t>
  </si>
  <si>
    <t>Odstranění podkladu nad 50 m2,kam.drcené tl.15 cm</t>
  </si>
  <si>
    <t>82</t>
  </si>
  <si>
    <t>asf. vozovka</t>
  </si>
  <si>
    <t>22</t>
  </si>
  <si>
    <t>113202111R00</t>
  </si>
  <si>
    <t>Vytrhání obrub obrubníků silničních</t>
  </si>
  <si>
    <t>m</t>
  </si>
  <si>
    <t>444</t>
  </si>
  <si>
    <t>kamenné 320*240</t>
  </si>
  <si>
    <t>122</t>
  </si>
  <si>
    <t>betonové</t>
  </si>
  <si>
    <t>23</t>
  </si>
  <si>
    <t>113201111R00</t>
  </si>
  <si>
    <t>Vytrhání obrubníků chodníkových a parkových</t>
  </si>
  <si>
    <t>352</t>
  </si>
  <si>
    <t>kamenné krajníky</t>
  </si>
  <si>
    <t>24</t>
  </si>
  <si>
    <t>Příplatek za šetrné rozebírání kamenných obrub a krajníků - ručně!</t>
  </si>
  <si>
    <t>444+352</t>
  </si>
  <si>
    <t>25</t>
  </si>
  <si>
    <t>114-01 VD</t>
  </si>
  <si>
    <t>Odstranění uliční vpusti</t>
  </si>
  <si>
    <t>Položka obsahuje odstranění materiálu obklopujícího potrubí v míře nutné pro vyzvednutí, rozpojení trub, uchopení a vyzvednutí trub z výkopu a uložení na dopravní prostředek nebo přemístění do 5 m od výkopu</t>
  </si>
  <si>
    <t>26</t>
  </si>
  <si>
    <t>113203111R00</t>
  </si>
  <si>
    <t>Vytrhání obrub z dlažebních kostek</t>
  </si>
  <si>
    <t>31*2</t>
  </si>
  <si>
    <t>dvouřádek z kostek v napojení na sil. I/23</t>
  </si>
  <si>
    <t>27</t>
  </si>
  <si>
    <t>Třídění dlažby s odstraněním rozlámaných kusů</t>
  </si>
  <si>
    <t>šatovka</t>
  </si>
  <si>
    <t>kostka drobná</t>
  </si>
  <si>
    <t>272+97</t>
  </si>
  <si>
    <t>mozaika</t>
  </si>
  <si>
    <t>28</t>
  </si>
  <si>
    <t>113-03 VD</t>
  </si>
  <si>
    <t>Třídění obrub a krajníků s odstranením rozlámaných kusů</t>
  </si>
  <si>
    <t>Odkopávky a prokopávky</t>
  </si>
  <si>
    <t>29</t>
  </si>
  <si>
    <t>122201102R00</t>
  </si>
  <si>
    <t>Odkopávky nezapažené v hor. 3 do 1000 m3</t>
  </si>
  <si>
    <t>m3</t>
  </si>
  <si>
    <t>12_</t>
  </si>
  <si>
    <t>450*0,7</t>
  </si>
  <si>
    <t>70% zemních prací</t>
  </si>
  <si>
    <t>(622+1170+684)*0,5*0,5*0,7</t>
  </si>
  <si>
    <t>pro výměnu podloží v tl. 0,5 m na polovině pojížděných ploch</t>
  </si>
  <si>
    <t>(1720+90)*0,3*0,5*0,7</t>
  </si>
  <si>
    <t>pro výměnu podloží v tl. 0,3 m na polovině pochozích ploch</t>
  </si>
  <si>
    <t>30</t>
  </si>
  <si>
    <t>122301102R00</t>
  </si>
  <si>
    <t>Odkopávky nezapažené v hor. 4 do 1000 m3</t>
  </si>
  <si>
    <t>450*0,3</t>
  </si>
  <si>
    <t>30% zemních prací</t>
  </si>
  <si>
    <t>(622+1170+684)*0,5*0,5*0,3</t>
  </si>
  <si>
    <t>(1720+90)*0,3*0,5*0,3</t>
  </si>
  <si>
    <t>Hloubené vykopávky</t>
  </si>
  <si>
    <t>31</t>
  </si>
  <si>
    <t>131201110R00</t>
  </si>
  <si>
    <t>Hloubení nezapaž. jam hor.3 do 50 m3, STROJNĚ</t>
  </si>
  <si>
    <t>13_</t>
  </si>
  <si>
    <t>31*0,7</t>
  </si>
  <si>
    <t>pro vpusti</t>
  </si>
  <si>
    <t>2*0,7</t>
  </si>
  <si>
    <t>pro sklopné sloupky</t>
  </si>
  <si>
    <t>Položka obsahuje hloubení jámy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</t>
  </si>
  <si>
    <t>32</t>
  </si>
  <si>
    <t>131301110R00</t>
  </si>
  <si>
    <t>Hloubení nezapaž. jam hor.4 do 50 m3, STROJNĚ</t>
  </si>
  <si>
    <t>31*0,3</t>
  </si>
  <si>
    <t>2*0,3</t>
  </si>
  <si>
    <t>33</t>
  </si>
  <si>
    <t>132201112R00</t>
  </si>
  <si>
    <t>Hloubení rýh š.do 60 cm v hor.3 nad 100 m3,STROJNĚ</t>
  </si>
  <si>
    <t>pro drenáž</t>
  </si>
  <si>
    <t>63*0,7</t>
  </si>
  <si>
    <t>pro přípojky vpustí</t>
  </si>
  <si>
    <t>10+6+4*0,7</t>
  </si>
  <si>
    <t>pro základy a zídky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</si>
  <si>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</t>
  </si>
  <si>
    <t>34</t>
  </si>
  <si>
    <t>132301110R00</t>
  </si>
  <si>
    <t>Hloubení rýh š.do 60 cm v hor.4 do 50 m3,STROJNĚ</t>
  </si>
  <si>
    <t>63*0,3</t>
  </si>
  <si>
    <t>10+6+4*0,3</t>
  </si>
  <si>
    <t>Přemístění výkopku</t>
  </si>
  <si>
    <t>35</t>
  </si>
  <si>
    <t>16_</t>
  </si>
  <si>
    <t>Varianta:</t>
  </si>
  <si>
    <t>36</t>
  </si>
  <si>
    <t>37</t>
  </si>
  <si>
    <t>162301411R00</t>
  </si>
  <si>
    <t>Vod.přemístění kmenů listnatých, D 30cm  do 5000 m</t>
  </si>
  <si>
    <t>38</t>
  </si>
  <si>
    <t>162301415R00</t>
  </si>
  <si>
    <t>Vod.přemístění kmenů jehlič., D 30cm  do 5000 m</t>
  </si>
  <si>
    <t>39</t>
  </si>
  <si>
    <t>162301416R00</t>
  </si>
  <si>
    <t>Vod.přemístění kmenů jehlič., D 50cm  do 5000 m</t>
  </si>
  <si>
    <t>40</t>
  </si>
  <si>
    <t>162301421R00</t>
  </si>
  <si>
    <t>Vodorovné přemístění pařezů  D 30 cm do 5000 m</t>
  </si>
  <si>
    <t>41</t>
  </si>
  <si>
    <t>162301422R00</t>
  </si>
  <si>
    <t>Vodorovné přemístění pařezů  D 50 cm do 5000 m</t>
  </si>
  <si>
    <t>42</t>
  </si>
  <si>
    <t>162702292R00</t>
  </si>
  <si>
    <t>Poplatek za skládku: větve a kulatiny</t>
  </si>
  <si>
    <t>t</t>
  </si>
  <si>
    <t>43</t>
  </si>
  <si>
    <t>162301401R00</t>
  </si>
  <si>
    <t>Vod.přemístění větví listnatých, D 30cm  do 5000 m</t>
  </si>
  <si>
    <t>44</t>
  </si>
  <si>
    <t>162301405R00</t>
  </si>
  <si>
    <t>Vod.přemístění větví jehlič., D 30cm  do 5000 m</t>
  </si>
  <si>
    <t>50</t>
  </si>
  <si>
    <t>Konstrukce ze zemin</t>
  </si>
  <si>
    <t>45</t>
  </si>
  <si>
    <t>174201103R00</t>
  </si>
  <si>
    <t>Zásyp zářezu se šikmými stěnami bez zhutnění</t>
  </si>
  <si>
    <t>17_</t>
  </si>
  <si>
    <t>Položka obsahuje i přemístění materiálu pro zásyp ze vzdálenosti do 10 m od okraje zásypu.</t>
  </si>
  <si>
    <t>46</t>
  </si>
  <si>
    <t>174101101R00</t>
  </si>
  <si>
    <t>Zásyp jam, rýh, šachet se zhutněním</t>
  </si>
  <si>
    <t>vpusti</t>
  </si>
  <si>
    <t>51</t>
  </si>
  <si>
    <t>přípojky vpustí</t>
  </si>
  <si>
    <t>0,4*0,6*480</t>
  </si>
  <si>
    <t>provizorní zapravení po vedeno VO a MAN</t>
  </si>
  <si>
    <t>Položka obsahuje strojní přemístění materiálu pro zásyp ze vzdálenosti do 10 m od okraje zásypu.</t>
  </si>
  <si>
    <t>47</t>
  </si>
  <si>
    <t>58344171</t>
  </si>
  <si>
    <t>Štěrkodrtě frakce 0-32 C</t>
  </si>
  <si>
    <t>0,4*0,6*480*2</t>
  </si>
  <si>
    <t>48</t>
  </si>
  <si>
    <t>175100020RA0</t>
  </si>
  <si>
    <t>Obsyp potrubí štěrkopískem</t>
  </si>
  <si>
    <t>Povrchové úpravy terénu</t>
  </si>
  <si>
    <t>49</t>
  </si>
  <si>
    <t>181101102R00</t>
  </si>
  <si>
    <t>Úprava pláně v zářezech v hor. 1-4, se zhutněním</t>
  </si>
  <si>
    <t>18_</t>
  </si>
  <si>
    <t>622+1170+684+1720+90</t>
  </si>
  <si>
    <t>Položky jsou shodné i pro úpravu pláně v násypech.</t>
  </si>
  <si>
    <t>182201101R00</t>
  </si>
  <si>
    <t>Svahování násypů</t>
  </si>
  <si>
    <t>102</t>
  </si>
  <si>
    <t>terénní úpravy u měú</t>
  </si>
  <si>
    <t>Hloubení pro podzemní stěny, ražení a hloubení důlní</t>
  </si>
  <si>
    <t>199000005R00</t>
  </si>
  <si>
    <t>Poplatek za skládku zeminy 1- 4, č. dle katal. odpadů 17 05 04</t>
  </si>
  <si>
    <t>19_</t>
  </si>
  <si>
    <t>1366,5*1,6</t>
  </si>
  <si>
    <t>Úprava podloží a základové spáry</t>
  </si>
  <si>
    <t>52</t>
  </si>
  <si>
    <t>212753114R00</t>
  </si>
  <si>
    <t>Montáž ohebné dren. trubky do rýhy DN 100,bez lože</t>
  </si>
  <si>
    <t>21_</t>
  </si>
  <si>
    <t>2_</t>
  </si>
  <si>
    <t>340</t>
  </si>
  <si>
    <t>53</t>
  </si>
  <si>
    <t>28611223.A</t>
  </si>
  <si>
    <t>Trubka PVC drenážní flexibilní d 100 mm</t>
  </si>
  <si>
    <t>;ztratné 3%; 10,2</t>
  </si>
  <si>
    <t>54</t>
  </si>
  <si>
    <t>212971110R00</t>
  </si>
  <si>
    <t>Opláštění trativodů z geotext., do sklonu 1:2,5</t>
  </si>
  <si>
    <t>340*0,5</t>
  </si>
  <si>
    <t>55</t>
  </si>
  <si>
    <t>212571111R00</t>
  </si>
  <si>
    <t>Výplň odvodňov. trativodů štěrkopískem tříděným</t>
  </si>
  <si>
    <t>56</t>
  </si>
  <si>
    <t>211971121R00</t>
  </si>
  <si>
    <t>Opláštění žeber geot., sklon nad 1:2,5, š do 2,5 m</t>
  </si>
  <si>
    <t>0,45*0,6*4*4+0,45*0,45*4</t>
  </si>
  <si>
    <t>pro sloupky</t>
  </si>
  <si>
    <t>Základy</t>
  </si>
  <si>
    <t>57</t>
  </si>
  <si>
    <t>274321611R00</t>
  </si>
  <si>
    <t>Železobeton základových pasů C 30/37</t>
  </si>
  <si>
    <t>27_</t>
  </si>
  <si>
    <t>0,35*0,6*(1,4+3,3)</t>
  </si>
  <si>
    <t>schodiště</t>
  </si>
  <si>
    <t>Položka obsahuje náklady na dodávku a uložení betonu do připravené konstrukce. Bednění a výztuž se oceňuje samostatně.</t>
  </si>
  <si>
    <t>58</t>
  </si>
  <si>
    <t>58953508</t>
  </si>
  <si>
    <t>Síť svařovaná Kari, d 6 mm, oko 100 x 100 mm, formát 6 x 2,40 m, střih + ohyb</t>
  </si>
  <si>
    <t>8,7*4,44/1000</t>
  </si>
  <si>
    <t>16,5*2*4,44/1000</t>
  </si>
  <si>
    <t>zídka Z1</t>
  </si>
  <si>
    <t>;ztratné 5%; 0,0134755</t>
  </si>
  <si>
    <t>9,5*2*4,44/1000</t>
  </si>
  <si>
    <t>zídka Z2</t>
  </si>
  <si>
    <t>průměr drátu: 6,0/6,0 rozteč drátu: 100/10</t>
  </si>
  <si>
    <t>59</t>
  </si>
  <si>
    <t>273321611R00</t>
  </si>
  <si>
    <t>Železobeton základových desek C 30/37</t>
  </si>
  <si>
    <t>schod. deska</t>
  </si>
  <si>
    <t>60</t>
  </si>
  <si>
    <t>273351215RT1</t>
  </si>
  <si>
    <t>Bednění stěn základových desek - zřízení</t>
  </si>
  <si>
    <t>bednicí materiál prkna</t>
  </si>
  <si>
    <t>61</t>
  </si>
  <si>
    <t>273351216R00</t>
  </si>
  <si>
    <t>Bednění stěn základových desek - odstranění</t>
  </si>
  <si>
    <t>62</t>
  </si>
  <si>
    <t>274351215RT1</t>
  </si>
  <si>
    <t>Bednění stěn základových pasů - zřízení</t>
  </si>
  <si>
    <t>63</t>
  </si>
  <si>
    <t>274351216R00</t>
  </si>
  <si>
    <t>Bednění stěn základových pasů - odstranění</t>
  </si>
  <si>
    <t>64</t>
  </si>
  <si>
    <t>271571111R00</t>
  </si>
  <si>
    <t>Polštář základu ze štěrkopísku tříděného</t>
  </si>
  <si>
    <t>0,1*0,35*(1,4*3,3)</t>
  </si>
  <si>
    <t>schosiště</t>
  </si>
  <si>
    <t>0,1*7,2*0,2</t>
  </si>
  <si>
    <t>0,1*4,7*0,2</t>
  </si>
  <si>
    <t>0,1*12,2*0,23</t>
  </si>
  <si>
    <t>zídka Z3</t>
  </si>
  <si>
    <t>65</t>
  </si>
  <si>
    <t>275313611R00</t>
  </si>
  <si>
    <t>Beton základových patek prostý C 16/20</t>
  </si>
  <si>
    <t>0,6*0,24*0,2*2*3</t>
  </si>
  <si>
    <t>lavičky</t>
  </si>
  <si>
    <t>0,45*0,45*0,3*4</t>
  </si>
  <si>
    <t>sloupky pevné</t>
  </si>
  <si>
    <t>0,45*0,45*0,42*4</t>
  </si>
  <si>
    <t>sloupky sklopné</t>
  </si>
  <si>
    <t>0,35*0,35*0,35*2*9</t>
  </si>
  <si>
    <t>stojany na kola</t>
  </si>
  <si>
    <t>0,4*0,4*0,4</t>
  </si>
  <si>
    <t>parkovací automat</t>
  </si>
  <si>
    <t>0,35*0,35*0,3*6</t>
  </si>
  <si>
    <t>odpadkové koše</t>
  </si>
  <si>
    <t>Položka obsahuje náklady na dodávku a uložení betonu do připravené konstrukce. Bednění se oceňuje samostatně</t>
  </si>
  <si>
    <t>66</t>
  </si>
  <si>
    <t>275351215R00</t>
  </si>
  <si>
    <t>Bednění stěn základových patek - zřízení</t>
  </si>
  <si>
    <t>(0,6*0,2+0,24*0,2)*2*2*3</t>
  </si>
  <si>
    <t>0,45*0,3*4*4</t>
  </si>
  <si>
    <t>0,45*0,42*4*4</t>
  </si>
  <si>
    <t>0,35*0,35*4*2*9</t>
  </si>
  <si>
    <t>0,4*0,4*4</t>
  </si>
  <si>
    <t>park. automat</t>
  </si>
  <si>
    <t>0,35*0,3*4*6</t>
  </si>
  <si>
    <t>koše</t>
  </si>
  <si>
    <t>67</t>
  </si>
  <si>
    <t>275351216R00</t>
  </si>
  <si>
    <t>Bednění stěn základových patek - odstranění</t>
  </si>
  <si>
    <t>19,18</t>
  </si>
  <si>
    <t>68</t>
  </si>
  <si>
    <t>271531112R00</t>
  </si>
  <si>
    <t>Polštář základu z kameniva hr. drceného 32-63 mm</t>
  </si>
  <si>
    <t>0,45*0,45*0,6*4</t>
  </si>
  <si>
    <t>Zdi podpěrné a volné</t>
  </si>
  <si>
    <t>69</t>
  </si>
  <si>
    <t>311321412R00</t>
  </si>
  <si>
    <t>Železobeton nadzákladových zdí C 30/37</t>
  </si>
  <si>
    <t>31_</t>
  </si>
  <si>
    <t>3_</t>
  </si>
  <si>
    <t>16,7*0,2</t>
  </si>
  <si>
    <t>Položka obsahuje náklady na dodávku a uložení betonu do připravené konstrukce. Bednění a výztuž se oceňují samostatně. V položce jsou započteny i náklady na pomocné lešení o výšce podlahy do 1,90 m a pro zatížení do 1,5 kPa. Položka se používá i pro zdivo výplňové, obkladové, půdní, nadstřešní, poprsní, římsové apod</t>
  </si>
  <si>
    <t>70</t>
  </si>
  <si>
    <t>311351105R00</t>
  </si>
  <si>
    <t>Bednění nadzákladových zdí, oboustranné - zřízení</t>
  </si>
  <si>
    <t>Do výměry oboustranného bednění se započítávají obě strany bedněné stěny.</t>
  </si>
  <si>
    <t>71</t>
  </si>
  <si>
    <t>311351106R00</t>
  </si>
  <si>
    <t>Bednění nadzákladových zdí, oboustranné - odstranění</t>
  </si>
  <si>
    <t>72</t>
  </si>
  <si>
    <t>311321826R00</t>
  </si>
  <si>
    <t>Železobeton nadzákladových zdí pohledový C 30/37</t>
  </si>
  <si>
    <t>9,7*0,2</t>
  </si>
  <si>
    <t>Položka obsahuje náklady na dodávku a uložení betonu do připravené konstrukce s pečlivým hutněním při líci konstrukce pro dosažení neporušeného stavu povrchu. Bednění a výztuž se oceňují samostatně. V položce jsou započteny i náklady na pomocné lešení o výšce podlahy do 1,90 m a pro zatížení do 1,5 kPa. Položka se používá i pro zdivo výplňové, obkladové, půdní, nadstřešní, poprsní, římsové apod</t>
  </si>
  <si>
    <t>73</t>
  </si>
  <si>
    <t>311351805R00</t>
  </si>
  <si>
    <t>Bednění nadzákladových zdí pohledových hladkých, oboustranné - zřízení</t>
  </si>
  <si>
    <t>Bednění pro pohledový hladký beton. Do měrných jednotek se zadává plocha obou stran</t>
  </si>
  <si>
    <t>74</t>
  </si>
  <si>
    <t>311351806R00</t>
  </si>
  <si>
    <t>Bednění nadzákladových zdí pohledových hladkých, oboustranné - odstranění</t>
  </si>
  <si>
    <t>75</t>
  </si>
  <si>
    <t>311211124R00</t>
  </si>
  <si>
    <t>Zdivo nadzákladové z lomového kamene na maltu cementovou 10 MPa</t>
  </si>
  <si>
    <t>8,7*0,23</t>
  </si>
  <si>
    <t>Položka se používá pro zdivo pod omítku. Pokud je zdivo určeno jako pohledové, oceňuje se navíc příplatek za lícování zdiva položkami 311 21-1128 nebo -1129 a spárování položkami souboru 627 45 Spárování</t>
  </si>
  <si>
    <t>76</t>
  </si>
  <si>
    <t>311211128R00</t>
  </si>
  <si>
    <t>Příplatek za jednostranné lícování nadzákladového zdiva</t>
  </si>
  <si>
    <t>2,001</t>
  </si>
  <si>
    <t>Položka se používá pro lícování nadzákladového zdiva z lomového kamene</t>
  </si>
  <si>
    <t>Schodiště</t>
  </si>
  <si>
    <t>77</t>
  </si>
  <si>
    <t>434-01 VD</t>
  </si>
  <si>
    <t>Osazení stupňů kamenných na desku, malta</t>
  </si>
  <si>
    <t>43_</t>
  </si>
  <si>
    <t>4_</t>
  </si>
  <si>
    <t>9,4</t>
  </si>
  <si>
    <t>V položce jsou zakalkulovány náklady na vyspárování styčných spár, na provizorní dřevěné zábradlí a dočasné zakrytí stupnic prkny</t>
  </si>
  <si>
    <t>78</t>
  </si>
  <si>
    <t>434-02 VD</t>
  </si>
  <si>
    <t>Kamenný blok 0,3x0,2 m, dl. 0,4-1 m, tryskaný povrch, žula, sv. šedá</t>
  </si>
  <si>
    <t>79</t>
  </si>
  <si>
    <t>434-03 VD</t>
  </si>
  <si>
    <t>Kamenný blok 0,33x0,2 m, dl. 0,4-1 m, tryskaný povrch, žula, sv. šedá</t>
  </si>
  <si>
    <t>1,4</t>
  </si>
  <si>
    <t>80</t>
  </si>
  <si>
    <t>434-04 VD</t>
  </si>
  <si>
    <t>Kamenný blok 0,33x0,09 m, dl. 0,4-1 m, tryskaný povrch, žula, sv. šedá</t>
  </si>
  <si>
    <t>4,7</t>
  </si>
  <si>
    <t>434-05 VD</t>
  </si>
  <si>
    <t>Kamenný blok 0,3x0,09 m, dl. 0,4-1 m, tryskaný povrch, žula, sv. šedá</t>
  </si>
  <si>
    <t>3,3</t>
  </si>
  <si>
    <t>Podkladní a vedlejší konstrukce (kromě vozovek a železničního svršku)</t>
  </si>
  <si>
    <t>451573111R00</t>
  </si>
  <si>
    <t>Lože pod potrubí ze štěrkopísku do 63 mm</t>
  </si>
  <si>
    <t>45_</t>
  </si>
  <si>
    <t>Položka je určena pro práce v otevřeném výkopu, pro práce ve štole se k položce používá příplatek 45154-1192</t>
  </si>
  <si>
    <t>Podkladní vrstvy komunikací, letišť a ploch</t>
  </si>
  <si>
    <t>83</t>
  </si>
  <si>
    <t>567211205R00</t>
  </si>
  <si>
    <t>Podklad z prostého betonu tř. II  tloušťky 5 cm</t>
  </si>
  <si>
    <t>56_</t>
  </si>
  <si>
    <t>5_</t>
  </si>
  <si>
    <t>pod litý asf.</t>
  </si>
  <si>
    <t>V položce jsou zakalkulovány i náklady na ošetření povrchu podkladu vodou. V položce nejsou zakalkulovány náklady na zřízení dilatačních spár a jejich vyplnění. Tyto práce se oceňují položkami souborů 919 72-1 Dilatační spáry vkládané nebo 919 72-2 Dilatační spáry řezané</t>
  </si>
  <si>
    <t>84</t>
  </si>
  <si>
    <t>564231111R00</t>
  </si>
  <si>
    <t>Podklad ze štěrkopísku po zhutnění tloušťky 10 cm</t>
  </si>
  <si>
    <t>pod přídlažbou</t>
  </si>
  <si>
    <t>567132115R00</t>
  </si>
  <si>
    <t>Podklad z kameniva zpev.cementem SC C8/10 tl.20 cm</t>
  </si>
  <si>
    <t>532-57,5*0,5-79*0,2-3,5*0,2</t>
  </si>
  <si>
    <t>vozovka - kočičí hlavy</t>
  </si>
  <si>
    <t>926</t>
  </si>
  <si>
    <t>vozovka kostky 8/10</t>
  </si>
  <si>
    <t>zesílení sjezdů</t>
  </si>
  <si>
    <t>zapravení sil. I/23</t>
  </si>
  <si>
    <t>-61,046-30,8-128,283-42,9-103,46-56,1</t>
  </si>
  <si>
    <t>-108,788-20-38,642-4-13,625-3-63,712-21</t>
  </si>
  <si>
    <t>86</t>
  </si>
  <si>
    <t>567122114R00</t>
  </si>
  <si>
    <t>Podklad z kameniva zpev.cementem SC C8/10 tl.15 cm</t>
  </si>
  <si>
    <t>684+53</t>
  </si>
  <si>
    <t>vozovka/chodník - šatovka</t>
  </si>
  <si>
    <t>průjezd</t>
  </si>
  <si>
    <t>-43,249-2,2-108,365-23,1</t>
  </si>
  <si>
    <t>-11,392-57,119-16</t>
  </si>
  <si>
    <t>567122111R00</t>
  </si>
  <si>
    <t>Podklad z kameniva zpev.cementem SC C8/10 tl.10 cm</t>
  </si>
  <si>
    <t>1720</t>
  </si>
  <si>
    <t>chodníky - mozaika</t>
  </si>
  <si>
    <t>-75</t>
  </si>
  <si>
    <t>odpočet za sjezdy</t>
  </si>
  <si>
    <t>-15,1-61,6-133,1</t>
  </si>
  <si>
    <t>-22-54</t>
  </si>
  <si>
    <t>88</t>
  </si>
  <si>
    <t>564861113RT2</t>
  </si>
  <si>
    <t>Podklad ze štěrkodrti po zhutnění tloušťky 22 cm</t>
  </si>
  <si>
    <t>štěrkodrť frakce 0-32 mm</t>
  </si>
  <si>
    <t>622</t>
  </si>
  <si>
    <t>vozovka - kočičí hlavy, tl. vrstvy 20-24 cm</t>
  </si>
  <si>
    <t>1117</t>
  </si>
  <si>
    <t>vozovka - kostky, tl. vrstvy 20-24 cm</t>
  </si>
  <si>
    <t>-108,788-20-38,462-4-13,625-3-63,712-21</t>
  </si>
  <si>
    <t>89</t>
  </si>
  <si>
    <t>564851111RT2</t>
  </si>
  <si>
    <t>Podklad ze štěrkodrti po zhutnění tloušťky 15 cm</t>
  </si>
  <si>
    <t>(1720+90)*0,5*2</t>
  </si>
  <si>
    <t>výměna podloží v tl. 0,3 m - 2 vrstvy</t>
  </si>
  <si>
    <t>-43,249-2,2-108,365-23,1-15,1-61,6-133,1</t>
  </si>
  <si>
    <t>-11,392-57,119-16-22-54</t>
  </si>
  <si>
    <t>90</t>
  </si>
  <si>
    <t>564861111RT2</t>
  </si>
  <si>
    <t>Podklad ze štěrkodrti po zhutnění tloušťky 20 cm</t>
  </si>
  <si>
    <t>91</t>
  </si>
  <si>
    <t>565161112RT3</t>
  </si>
  <si>
    <t>Podklad z obal kamen. ACP 22+, š. do 3 m, tl. 9 cm</t>
  </si>
  <si>
    <t>92</t>
  </si>
  <si>
    <t>564871111RT2</t>
  </si>
  <si>
    <t>Podklad ze štěrkodrti po zhutnění tloušťky 25 cm</t>
  </si>
  <si>
    <t>(622+1170+684)*0,5*2</t>
  </si>
  <si>
    <t>výměna podloží v tl.. 0,5 m - 2 vrstvy</t>
  </si>
  <si>
    <t>Kryty pozemních komunikací, letišť a ploch z kameniva nebo živičné</t>
  </si>
  <si>
    <t>578141111R00</t>
  </si>
  <si>
    <t>Litý asfalt z kameniva jemnozrnný do 3 m tl. 4 cm</t>
  </si>
  <si>
    <t>57_</t>
  </si>
  <si>
    <t>94</t>
  </si>
  <si>
    <t>577141112RT3</t>
  </si>
  <si>
    <t>Beton asfalt. ACO 11+,nebo ACO 16+,do 3 m, tl.5 cm</t>
  </si>
  <si>
    <t>Kryty pozemních komunikací, letišť a ploch dlážděných (předlažby)</t>
  </si>
  <si>
    <t>95</t>
  </si>
  <si>
    <t>591211211R00</t>
  </si>
  <si>
    <t>Kladení dlažby drobné kostky, lože z drti tl. 4 cm</t>
  </si>
  <si>
    <t>59_</t>
  </si>
  <si>
    <t>979</t>
  </si>
  <si>
    <t>vozovka</t>
  </si>
  <si>
    <t>-61,046-30,8-128,283-42,9</t>
  </si>
  <si>
    <t>-108,788-20-38,642-4</t>
  </si>
  <si>
    <t>V položce jsou zakalkulovány i náklady na dodání hmot pro lože a výplň spár. V položce nejsou zakalkulovány náklady na dodání dlažebních kostek. Ztratné dlažebních kostek se doporučuje ve výši 2 %</t>
  </si>
  <si>
    <t>58380120.A</t>
  </si>
  <si>
    <t>Kostka dlažební drobná 8/10 tř. 1  1t = 5 m2</t>
  </si>
  <si>
    <t>979+73+28*0,2+2*0,1-4*0,5*4</t>
  </si>
  <si>
    <t>4*0,5*4</t>
  </si>
  <si>
    <t>bílá - přechod</t>
  </si>
  <si>
    <t>-(821,516-96)*0,8-31*0,2*0,8</t>
  </si>
  <si>
    <t>odpočet za použití stáv. dlažby</t>
  </si>
  <si>
    <t>;ztratné 2%; 0,759364000000002</t>
  </si>
  <si>
    <t>591111111R00</t>
  </si>
  <si>
    <t>Kladení dlažby velké kostky,lože z kamen.tl. 4 cm</t>
  </si>
  <si>
    <t>použití původní dlažby</t>
  </si>
  <si>
    <t>-57,5*0,5</t>
  </si>
  <si>
    <t>-0,2*79</t>
  </si>
  <si>
    <t>-0,2*3,5</t>
  </si>
  <si>
    <t>-103,46-56,1</t>
  </si>
  <si>
    <t>-13,625-3-63,712-21</t>
  </si>
  <si>
    <t>V položce jsou zakalkulovány i náklady na dodání hmot pro lože a na dodání téhož materiálu na výplň spár. V položce nejsou zakalkulovány náklady na dodání dlažebních kostek, které se oceňuje ve specifikaci, ztratné se doporučuje ve výši 1%.</t>
  </si>
  <si>
    <t>98</t>
  </si>
  <si>
    <t>599632111R00</t>
  </si>
  <si>
    <t>Výplň spár dlažby z velkých kostek MC se zatřením</t>
  </si>
  <si>
    <t>99</t>
  </si>
  <si>
    <t>597103112R00</t>
  </si>
  <si>
    <t>Montáž vpusti pro žlaby polymerbetonové D400, E600</t>
  </si>
  <si>
    <t>Položka je určena pro montáž vpusti odvodňovacího žlabu z polymerbetonu včetně betonového lože. Žlaby a vpusti slouží k odvedení povrchové vody ze zpeněných ploch, pro volbu položky je rozhodující třída zatížení. V položce nejsou zakalkulovány náklady na dodávku vpusti. Tyto náklady ce oceňují ve specifikaci</t>
  </si>
  <si>
    <t>100</t>
  </si>
  <si>
    <t>5922723413</t>
  </si>
  <si>
    <t>Vpust žlabová jednodílná DN 150, 0,5 m, rošt D400</t>
  </si>
  <si>
    <t>třída zatížení D 400  dle normy ČSN EN 1433 možnost připojení základního vedení DN/OD 160 litinová hrana Včetně kalového koše</t>
  </si>
  <si>
    <t>101</t>
  </si>
  <si>
    <t>597073226RU1</t>
  </si>
  <si>
    <t>Krycí rošt EN 1500, zatížení D 400, dl. 500 mm</t>
  </si>
  <si>
    <t>rošt můstkový, litina, oka 12/147</t>
  </si>
  <si>
    <t>Položka je určena pro osazení a dodávku krycího roštu z litiny. Zatížení D 400. Stavební délka 500 mm, světlá šířka 150 mm</t>
  </si>
  <si>
    <t>596215040R00</t>
  </si>
  <si>
    <t>Kladení zámkové dlažby tl. 8 cm do drtě tl. 4 cm</t>
  </si>
  <si>
    <t>684</t>
  </si>
  <si>
    <t>podélná stání - šatovka</t>
  </si>
  <si>
    <t>Od CÚ 2015/ II. není v jednotkové ceně započteno řezání dlaždic!!! Rozpočtuje se samostatnou položkou 596 29-1113.R00 Řezání zámkové dlažby tl. 80 mm. V položce jsou zakalkulovány i náklady na dodání hmot pro lože a na dodání materiálu na výplň spár. V položce nejsou zakalkulovány náklady na dodání zámkové dlažby, která se oceňuje ve specifikaci, ztratné se doporučuje ve výši 5%.</t>
  </si>
  <si>
    <t>103</t>
  </si>
  <si>
    <t>597-01 VD</t>
  </si>
  <si>
    <t>Dlažba keramická 200x100x80 - "Šatovka"</t>
  </si>
  <si>
    <t>-(838,525-81)*0,3</t>
  </si>
  <si>
    <t>odpočet za použití původní dlažby</t>
  </si>
  <si>
    <t>;ztratné 5%; 12,415875</t>
  </si>
  <si>
    <t>104</t>
  </si>
  <si>
    <t>596-02 VD</t>
  </si>
  <si>
    <t>Příplatek za pracnost - kladení dlažby "Šatovky"</t>
  </si>
  <si>
    <t>105</t>
  </si>
  <si>
    <t>596291113R00</t>
  </si>
  <si>
    <t>Řezání zámkové dlažby tl. 80 mm</t>
  </si>
  <si>
    <t>106</t>
  </si>
  <si>
    <t>596111111R00</t>
  </si>
  <si>
    <t>Kladení dlažby mozaika 1barva, lože z kam.do 4 cm</t>
  </si>
  <si>
    <t>1482</t>
  </si>
  <si>
    <t>-22-14</t>
  </si>
  <si>
    <t>odpočet za hmatovou a hladkou dlažbu</t>
  </si>
  <si>
    <t>-2</t>
  </si>
  <si>
    <t>odpočet za zadlažďovací poklopy</t>
  </si>
  <si>
    <t>107</t>
  </si>
  <si>
    <t>58380056</t>
  </si>
  <si>
    <t>Mozaika dlažební 4/6  štípaná</t>
  </si>
  <si>
    <t>1446</t>
  </si>
  <si>
    <t>-(309,1-97)*0,8</t>
  </si>
  <si>
    <t>;ztratné 2%; 19,8104</t>
  </si>
  <si>
    <t>8-8,5m2/</t>
  </si>
  <si>
    <t>108</t>
  </si>
  <si>
    <t>596-01 VD</t>
  </si>
  <si>
    <t>Kladení dlažby mozaika 2barvy, lože z kam.do 4 cm</t>
  </si>
  <si>
    <t>238</t>
  </si>
  <si>
    <t>černá/růžová v rastru</t>
  </si>
  <si>
    <t>-9-4,5</t>
  </si>
  <si>
    <t>109</t>
  </si>
  <si>
    <t>583-01 VD</t>
  </si>
  <si>
    <t>Mozaika dlažební 4/6  štípaná, tm. šedá až černá v kombinaci s růžovou</t>
  </si>
  <si>
    <t>224,5</t>
  </si>
  <si>
    <t>-97*0,8</t>
  </si>
  <si>
    <t>;ztratné 2%; 2,938</t>
  </si>
  <si>
    <t>110</t>
  </si>
  <si>
    <t>596415040R00</t>
  </si>
  <si>
    <t>Kladení kamenné dlažby tl. 6 cm do drtě tl. 4 cm</t>
  </si>
  <si>
    <t>22+9</t>
  </si>
  <si>
    <t>hmatová</t>
  </si>
  <si>
    <t>14+4,5</t>
  </si>
  <si>
    <t>hladká</t>
  </si>
  <si>
    <t>111</t>
  </si>
  <si>
    <t>Deska dlažební 200x200x60 mm žula, hmatová - certifikovaný prvek</t>
  </si>
  <si>
    <t>;ztratné 5%; 1,55</t>
  </si>
  <si>
    <t>112</t>
  </si>
  <si>
    <t>583-02 VD</t>
  </si>
  <si>
    <t>Deska dlažební 250x250x60 mm žula, hladká, tryskaný povrch</t>
  </si>
  <si>
    <t>;ztratné 5%; 0,925</t>
  </si>
  <si>
    <t>113</t>
  </si>
  <si>
    <t>596141111R00</t>
  </si>
  <si>
    <t>Kladení dlažby mozaika 1barva, lože MC do 2 cm</t>
  </si>
  <si>
    <t>0,4*0,4*6</t>
  </si>
  <si>
    <t>zadlažďovací poklopy</t>
  </si>
  <si>
    <t>596811111R00</t>
  </si>
  <si>
    <t>Kladení dlaždic kom.pro pěší, lože z kameniva těž.</t>
  </si>
  <si>
    <t>zadláždění původní dlažbou 30x30</t>
  </si>
  <si>
    <t>V položce jsou zakalkulovány i náklady na dodání hmot pro lože a na dodání téhož materiálu pro výplň spár. V položce nejsou zakalkulovány náklady na dodání dlaždic, které se oceňují ve specifikaci, ztratné se doporučuje ve výši 5%.  Část lože přesahující tloušťku 3 cm se oceňuje položkami souboru 451 ..-9 Příplatek za každých dalčích 10 mm tloušťky podkladu nebo lože</t>
  </si>
  <si>
    <t>115</t>
  </si>
  <si>
    <t>596841111R00</t>
  </si>
  <si>
    <t>Kladení dlažby z dlaždic kom.pro pěší do lože z MC</t>
  </si>
  <si>
    <t>přídlažba u měú</t>
  </si>
  <si>
    <t>V položce jsou zakalkulovány i náklady na dodání hmot pro lože a na dodání téhož materiálu pro výplň spár. V položce nejsou zakalkulovány náklady na dodání dlaždic, které se oceňují ve specifikaci, ztratné se doporučuje ve výši 5%.  Část lože přesahující tloušťku 3 cm se oceňuje položkami souboru 451 ..-9 Příplatek za každých dalších 10 mm tloušťky podkladu nebo lože</t>
  </si>
  <si>
    <t>116</t>
  </si>
  <si>
    <t>5924798478</t>
  </si>
  <si>
    <t>dlažba betonová 50/50/10 nat chodníková dlažba standart</t>
  </si>
  <si>
    <t>;ztratné 5%; 0,7</t>
  </si>
  <si>
    <t>117</t>
  </si>
  <si>
    <t>591241111R00</t>
  </si>
  <si>
    <t>Kladení dlažby drobné kostky, lože z MC tl. 2 cm</t>
  </si>
  <si>
    <t>0,4*0,4</t>
  </si>
  <si>
    <t>zadlažďovací poklop</t>
  </si>
  <si>
    <t>V položce jsou zakalkulovány i náklady na dodání hmot pro lože a na dodání téhož materiálu na výplň spár. V položce nejsou zakalkulovány náklady na dodání dlažebních kostek, které se oceňuje ve specifikaci, ztratné se doporučuje ve výši 2%</t>
  </si>
  <si>
    <t>118</t>
  </si>
  <si>
    <t>596491113R00</t>
  </si>
  <si>
    <t>Řezání kamenné dlažby tl. do 80 mm</t>
  </si>
  <si>
    <t>pro zadlažďovací poklopy</t>
  </si>
  <si>
    <t>711</t>
  </si>
  <si>
    <t>Izolace proti vodě</t>
  </si>
  <si>
    <t>119</t>
  </si>
  <si>
    <t>711823121RT7</t>
  </si>
  <si>
    <t>Montáž nopové fólie svisle</t>
  </si>
  <si>
    <t>711_</t>
  </si>
  <si>
    <t>71_</t>
  </si>
  <si>
    <t>včetně dodávky fólie</t>
  </si>
  <si>
    <t>0,5*24</t>
  </si>
  <si>
    <t>120</t>
  </si>
  <si>
    <t>711823129RT2</t>
  </si>
  <si>
    <t>Montáž ukončovací lišty k nopové fólii</t>
  </si>
  <si>
    <t>včetně dodávky lišty</t>
  </si>
  <si>
    <t>Potrubí z trub plastických, skleněných a čedičových</t>
  </si>
  <si>
    <t>121</t>
  </si>
  <si>
    <t>871313121RU3</t>
  </si>
  <si>
    <t>Montáž trub z plastu, gumový kroužek, DN 150</t>
  </si>
  <si>
    <t>87_</t>
  </si>
  <si>
    <t>8_</t>
  </si>
  <si>
    <t>včetně dodávky trub KG SN4 150x4,0x5000</t>
  </si>
  <si>
    <t>V položce je uvažováno s jedním spojem na 6 m potrubí. Položka je určena pro montáž potrubí z kanalizačních trub z tvrdého PVC těsněných gumovým kroužkem v otevřeném výkopu ve sklonu do 20 %. V položce montáže potrubí jsou zakalkulovány i náklady na dodání trub</t>
  </si>
  <si>
    <t>286506004</t>
  </si>
  <si>
    <t>Koleno kanalizační PVC DN 150</t>
  </si>
  <si>
    <t>Ostatní konstrukce a práce na trubním vedení</t>
  </si>
  <si>
    <t>123</t>
  </si>
  <si>
    <t>899331111R00</t>
  </si>
  <si>
    <t>Výšková úprava vstupu do 20 cm, zvýšení poklopu</t>
  </si>
  <si>
    <t>89_</t>
  </si>
  <si>
    <t>124</t>
  </si>
  <si>
    <t>895941311R00</t>
  </si>
  <si>
    <t>Zřízení vpusti uliční z dílců typ UVB - 50</t>
  </si>
  <si>
    <t>Položka je určena pro zřízení vpusti kanalizační uliční z betonových dílců. V položce jsou započteny i náklady na zřízení loiže ze štěrkopísku. V položce nejsou započteny náklady na: a) dodání betonových dílců; betonové dílce se oceňují ve specifikaci, ztratné se doporučuje ve výši 1 % b) litinové mříže; osazení mříží se oceňuje cenami souboru 89920 Osazení mříží litinových části A 01 tohoto sborníku; dodání mříží se oceňuje ve specifikaci, ztratné se nestanoví c) podkladní prstence; podkladní prstence se oceňují položkami souboru 45238 Podkladní a vyrovnávací konstrukce části A 01 tohoto sborníku.</t>
  </si>
  <si>
    <t>125</t>
  </si>
  <si>
    <t>592239030</t>
  </si>
  <si>
    <t>TBV 10a vyrovnávací prstenec 625/390/60</t>
  </si>
  <si>
    <t>126</t>
  </si>
  <si>
    <t>592238740</t>
  </si>
  <si>
    <t>TBV-Q 50/20 CP horní dílec dešťové vpusti DN 500</t>
  </si>
  <si>
    <t>127</t>
  </si>
  <si>
    <t>592238741</t>
  </si>
  <si>
    <t>TBV-Q 50/29 SN skruž dešťové vpusti DN 500</t>
  </si>
  <si>
    <t>128</t>
  </si>
  <si>
    <t>592238742</t>
  </si>
  <si>
    <t>TBV-Q 50/59 SV skruž dešťové vpusti DN 500</t>
  </si>
  <si>
    <t>129</t>
  </si>
  <si>
    <t>592238744</t>
  </si>
  <si>
    <t>TBV-Q 50/59 SO 15 PVC skruž dešťové vpusti DN 500</t>
  </si>
  <si>
    <t>130</t>
  </si>
  <si>
    <t>592238750</t>
  </si>
  <si>
    <t>TBV-Q 50/49 KV spodní dílec dešťové vpusti DN 500</t>
  </si>
  <si>
    <t>131</t>
  </si>
  <si>
    <t>899203111RT3</t>
  </si>
  <si>
    <t>Osazení mříží litinových s rámem do 150kg</t>
  </si>
  <si>
    <t>včetně dodávky vtokové mříže 500 x 500 mm, D400</t>
  </si>
  <si>
    <t>Položka je určena pro osazení mříží litinových včetně rámů a košů na bahno. V položkách jsou zakalkulovány náklady na dodání mříže stružkové. V položce jsou zakalkulovány i náklady na spojovací cementovou maltu</t>
  </si>
  <si>
    <t>132</t>
  </si>
  <si>
    <t>895983319R00</t>
  </si>
  <si>
    <t>Zřízení vpusti dvorní z dílců betonových, DN 300/125</t>
  </si>
  <si>
    <t>Položka je určena pro zřízení vpusti kanalizační dvorní z betonových dílců. V položce jsou započteny i náklady na zřízení loiže ze štěrkopísku. V položce nejsou započteny náklady na: a) dodání kameninových dílců; kameninové dílce se oceňují ve specifikaci, ztratné se doporučuje ve výši 1,5 % b) litinové mříže; osazení mříží se oceňuje cenami souboru 89920 Osazení mříží litinových části A 01 tohoto sborníku; dodání mříží se oceňuje ve specifikaci, ztratné se nestanoví c) podkladní prstence; podkladní prstence se oceňují položkami souboru 45238 Podkladní a vyrovnávací konstrukce části A 01 tohoto sborníku.</t>
  </si>
  <si>
    <t>133</t>
  </si>
  <si>
    <t>592277290</t>
  </si>
  <si>
    <t>300 vpust - horní díl</t>
  </si>
  <si>
    <t>134</t>
  </si>
  <si>
    <t>592277292</t>
  </si>
  <si>
    <t>300 vpust - spodní díl</t>
  </si>
  <si>
    <t>135</t>
  </si>
  <si>
    <t>899201111RT2</t>
  </si>
  <si>
    <t>Osazení mříží litinových s rámem do 50kg</t>
  </si>
  <si>
    <t>včetně dodání mříže lehké s rámem 300 x 300</t>
  </si>
  <si>
    <t>Položka je určena pro osazení mříží litinových včetně rámů a košů na bahno. V položkách jsou zakalkulovány náklady na dodání mříže lehké s rámem 300x300. V položce jsou zakalkulovány i náklady na cementovou maltu</t>
  </si>
  <si>
    <t>Doplňující konstrukce a práce na pozemních komunikacích a zpevněných plochách</t>
  </si>
  <si>
    <t>136</t>
  </si>
  <si>
    <t>919735111R00</t>
  </si>
  <si>
    <t>Řezání stávajícího živičného krytu tl. do 5 cm</t>
  </si>
  <si>
    <t>91_</t>
  </si>
  <si>
    <t>9_</t>
  </si>
  <si>
    <t>sil. I/23</t>
  </si>
  <si>
    <t>7,5</t>
  </si>
  <si>
    <t>litý asf. - chodník</t>
  </si>
  <si>
    <t>V položce jsou zakalkulovány i náklady na spotřebu vody</t>
  </si>
  <si>
    <t>137</t>
  </si>
  <si>
    <t>916161111R00</t>
  </si>
  <si>
    <t>Osazení obruby z kostek velkých, s boční opěrou, beton C16/20</t>
  </si>
  <si>
    <t>79+3,5</t>
  </si>
  <si>
    <t>75,5*2</t>
  </si>
  <si>
    <t>rigol-úžlabí</t>
  </si>
  <si>
    <t>138</t>
  </si>
  <si>
    <t>916261111R00</t>
  </si>
  <si>
    <t>Osazení obruby z kostek drobných, s boční opěrou</t>
  </si>
  <si>
    <t>28*2</t>
  </si>
  <si>
    <t>v napojení sil. I/23</t>
  </si>
  <si>
    <t>odláždění bodové vpusti v zeleni</t>
  </si>
  <si>
    <t>139</t>
  </si>
  <si>
    <t>917161111R00</t>
  </si>
  <si>
    <t>Osazení lež. obrub.kamen. s opěrou, lože z C 16/20</t>
  </si>
  <si>
    <t>642</t>
  </si>
  <si>
    <t>obr. OP1 (320x240)</t>
  </si>
  <si>
    <t>Osazení silničního nebo chodníkového obrubníku kamenného</t>
  </si>
  <si>
    <t>140</t>
  </si>
  <si>
    <t>58380303</t>
  </si>
  <si>
    <t>Obrubník kamenný přímý OP1  32x24 cm</t>
  </si>
  <si>
    <t>(642-444*0,8)/2</t>
  </si>
  <si>
    <t>použito 80% vybouraných obrub, 1/2 chybějících přikoupena, 1/2 chybějících dovezena ze skladu</t>
  </si>
  <si>
    <t>;ztratné 1%; 1,434</t>
  </si>
  <si>
    <t>141</t>
  </si>
  <si>
    <t>917-01 VD</t>
  </si>
  <si>
    <t>zkosený obrubník</t>
  </si>
  <si>
    <t>krajní obr. se zaoblením</t>
  </si>
  <si>
    <t>142</t>
  </si>
  <si>
    <t>917461111R00</t>
  </si>
  <si>
    <t>Osaz. stoj. obrub. kam. s opěrou, lože z C 16/20</t>
  </si>
  <si>
    <t>rozhraní zálivu a šatovky</t>
  </si>
  <si>
    <t>390</t>
  </si>
  <si>
    <t>krajníky</t>
  </si>
  <si>
    <t>143</t>
  </si>
  <si>
    <t>583-03 VD</t>
  </si>
  <si>
    <t>Obrubník kamenný přímý OP7 12x25 cm světle hnědá</t>
  </si>
  <si>
    <t>144</t>
  </si>
  <si>
    <t>58380211</t>
  </si>
  <si>
    <t>Krajník silniční  KS 3 13x20x30 až 80 cm</t>
  </si>
  <si>
    <t>-352*0,8</t>
  </si>
  <si>
    <t>odpočet za použití původních krajníků</t>
  </si>
  <si>
    <t>;ztratné 1%; 1,084</t>
  </si>
  <si>
    <t>145</t>
  </si>
  <si>
    <t>917-02 VD</t>
  </si>
  <si>
    <t>Osazení kamen. bloků s opěrou, lože z C 20/25 tl. 400 mm</t>
  </si>
  <si>
    <t>schody</t>
  </si>
  <si>
    <t>3,63</t>
  </si>
  <si>
    <t>1,32</t>
  </si>
  <si>
    <t>146</t>
  </si>
  <si>
    <t>58380373</t>
  </si>
  <si>
    <t>Obrubník kamenný přímý OP6 15x25 cm</t>
  </si>
  <si>
    <t>147</t>
  </si>
  <si>
    <t>917-03 VD</t>
  </si>
  <si>
    <t>Osazení kamen.obrub, malta, kotvení trny po cca 200 mm</t>
  </si>
  <si>
    <t>7,2</t>
  </si>
  <si>
    <t>4,64</t>
  </si>
  <si>
    <t>12,2</t>
  </si>
  <si>
    <t>148</t>
  </si>
  <si>
    <t>58380351</t>
  </si>
  <si>
    <t>Obrubník kamenný přímý OP5  20x20 cm</t>
  </si>
  <si>
    <t>8,3</t>
  </si>
  <si>
    <t>Z2</t>
  </si>
  <si>
    <t>Z1</t>
  </si>
  <si>
    <t>149</t>
  </si>
  <si>
    <t>919-01 VD</t>
  </si>
  <si>
    <t>Osazení prvků městského mobiliáře na připravený základ</t>
  </si>
  <si>
    <t>6+3+4+4+9+1</t>
  </si>
  <si>
    <t>150</t>
  </si>
  <si>
    <t>919-02 VD</t>
  </si>
  <si>
    <t>Zalití spáry za studena asf. zálivkou</t>
  </si>
  <si>
    <t>35,5</t>
  </si>
  <si>
    <t>151</t>
  </si>
  <si>
    <t>915701111R00</t>
  </si>
  <si>
    <t>Zřízení vodorovného značení z nátěr.hmot tl.do 3mm</t>
  </si>
  <si>
    <t>V20</t>
  </si>
  <si>
    <t>V10f</t>
  </si>
  <si>
    <t>152</t>
  </si>
  <si>
    <t>246234439</t>
  </si>
  <si>
    <t>Barva vodorovného dopravního značení  bílá</t>
  </si>
  <si>
    <t>l</t>
  </si>
  <si>
    <t>(2+2)/2</t>
  </si>
  <si>
    <t>Disperze anorganických pigmentů a plnidel v roztoku alkydové pryskyřice a vinylového polymeru v  organických rozpouštědlech, mokrá tloušťka filmu WFT 500 µm, suchá tloušťka filmu DFT 220 µm.  Teoretická vydatnost 2 m2/1 l  Nanáší se v jedné vrstvě vzduchovým i tlakovým bezvzduchovým nanášecím zařízením, případně jinou vhodnou nanášecí technikou s možností použití maskovací šablony. Viskozita barvy je  upravena pro přímou aplikaci na stroj. V případě potřeby (podle aplikace, typu zařízení) je možné ředění přípravkem P 6406 Toluen. Při přípravě většího množství materiálu je nutné barvu v zásobnících průběžně míchat nebo před vlastní aplikací znovu důkladně promíchat. Zasychá na vzduchu fyzikálním odpařením rozpouštědla, zasychání proti prachu min. 7 minut při teplotě vzduchu min. +5 °C a relativní vlhkosti vzduchu max. 75 %. Tloušťka mokrého nástřiku 500 µm</t>
  </si>
  <si>
    <t>(cca 670 g/m2). Tloušťka suchého nátěru 220 µm. Při nanášení je nutné provést posyp balotinou asi 300 g/m2, pro zajištění retroreflexe a drsnosti musí být tato operace provedena, vzhledem k rychlému zasychání, bezprostředně. Nátěr barvy je přejezdný vozidly 30 minut od nanesení na suchou vozovku při teplotě (20 ± 1) °C a relativní vlhkosti vzduchu 75%. Nižší teplota a vysoká vlhkost vzduchu zpomalí zasychání barvy. Při manipulaci se nesmí do výrobku dostat voda, která výrobek znehodnocuje</t>
  </si>
  <si>
    <t>153</t>
  </si>
  <si>
    <t>915709111R00</t>
  </si>
  <si>
    <t>Příplatek za reflexní úpravu balotinovou u nátěrů</t>
  </si>
  <si>
    <t>154</t>
  </si>
  <si>
    <t>915711111RT1</t>
  </si>
  <si>
    <t>Vodorovné značení dělicích čar 12 cm střík.barvou</t>
  </si>
  <si>
    <t>barva bílá</t>
  </si>
  <si>
    <t>V10b</t>
  </si>
  <si>
    <t>155</t>
  </si>
  <si>
    <t>915719111R00</t>
  </si>
  <si>
    <t>Příplatek za reflexní úpravu dělicích čar 12 cm</t>
  </si>
  <si>
    <t>156</t>
  </si>
  <si>
    <t>914-001 VD</t>
  </si>
  <si>
    <t>Osaz.svislé dopr.značky a sloupku,Al patka, prefab. základ</t>
  </si>
  <si>
    <t>původní směrové šipky</t>
  </si>
  <si>
    <t>informační tabule k parkovacímu automatu</t>
  </si>
  <si>
    <t>157</t>
  </si>
  <si>
    <t>40445023.A</t>
  </si>
  <si>
    <t>Značka doprav zákazová B1-B34 700 fól 1, EG 7letá</t>
  </si>
  <si>
    <t>Typy a provedení dopravního značení jsou v souladu s příslušným zákonem a vyhláškou č. 30/2001 Sb. a jsou schváleny Ministerstvem dopravy a spojů k používání na pozemních komunikacích.  FeZn plech - prolis  EG - Enginner Grade - reflexní fólie tř. 1 HlG  -  Hight Intensity Grade - reflexní fólie tř. 2  štít z pozinkovaného plechu s dvojitým ohybem okraje po celém obvodu značky retroreflexní fólie  I. třídy 3M EG nebo podobná, záruka 7 let</t>
  </si>
  <si>
    <t>158</t>
  </si>
  <si>
    <t>40445032.A</t>
  </si>
  <si>
    <t>Značka dopr příkazová C1-C14b 700 fól 1, EG 7letá</t>
  </si>
  <si>
    <t>Typy a provedení dopravního značení jsou v souladu s příslušným zákonem a vyhláškou č. 30/2001 Sb. a jsou schváleny Ministerstvem dopravy a spojů k používání na pozemních komunikacích.  EG - Enginner Grade - reflexní fólie tř. 1 HlG  -  Hight Intensity Grade - reflexní fólie tř. 2  štít z pozinkovaného plechu s dvojitým ohybem okraje po celém obvodu značky retroreflexní fólie  I. třídy 3M EG nebo podobná, záruka 7 let</t>
  </si>
  <si>
    <t>159</t>
  </si>
  <si>
    <t>40445050.A</t>
  </si>
  <si>
    <t>Značka dopr inf IP 11-13 500/700 fól1, EG7letá</t>
  </si>
  <si>
    <t>Typy a provedení dopravního značení jsou v souladu s příslušným zákonem a vyhláškou č. 30/2001 Sb. a jsou schváleny Ministerstvem dopravy a spojů k používání na pozemních komunikacích.  EG - Enginner Grade - reflexní fólie tř. 1 HlG  -  Hight Intensity Grade - reflexní fólie tř. 2 IP - Informativní dopravní značka provozní  štít z pozinkovaného plechu s dvojitým ohybem okraje po celém obvodu značky retroreflexní fólie  I. třídy 3M EG nebo podobná, záruka 7 let</t>
  </si>
  <si>
    <t>160</t>
  </si>
  <si>
    <t>40445052.A</t>
  </si>
  <si>
    <t>Značka dopr inf IP14a-25b, 1000/1500 fól1, EG7letá</t>
  </si>
  <si>
    <t>IZ8a</t>
  </si>
  <si>
    <t>161</t>
  </si>
  <si>
    <t>40445124.A</t>
  </si>
  <si>
    <t>Značka dopr inform IS 21a-c,300/200 fól1,EG 7 letá</t>
  </si>
  <si>
    <t>Typy a provedení dopravního značení jsou v souladu s příslušným zákonem a vyhláškou č. 30/2001 Sb. a jsou schváleny Ministerstvem dopravy a spojů k používání na pozemních komunikacích.  IS - Informativní dopravní značka směrová  štít z pozinkovaného plechu s dvojitým ohybem okraje po celém obvodu značky retroreflexní fólie  I. třídy 3M EG nebo podobná, záruka 7 let</t>
  </si>
  <si>
    <t>162</t>
  </si>
  <si>
    <t>40445122.A</t>
  </si>
  <si>
    <t>Značka dopr inform IS 20, 500/700 fól1, EG 7 letá</t>
  </si>
  <si>
    <t>163</t>
  </si>
  <si>
    <t>40445161.A</t>
  </si>
  <si>
    <t>Značka dopr dodat E 9,10,12,13 500/500 fól 1, EG 7 letá</t>
  </si>
  <si>
    <t>Typy a provedení dopravního značení jsou v souladu s příslušným zákonem a vyhláškou č. 30/2001 Sb. a jsou schváleny Ministerstvem dopravy a spojů k používání na pozemních komunikacích.  E - Dopravní značka - dodatková tabulka EG - Enginner Grade - reflexní fólie tř. 1  štít z pozinkovaného plechu s dvojitým ohybem okraje po celém obvodu značky retroreflexní fólie  I. třídy 3M EG nebo podobná, záruka 7 let</t>
  </si>
  <si>
    <t>164</t>
  </si>
  <si>
    <t>40445141.A</t>
  </si>
  <si>
    <t>Značka dopr dodat E1,2a,b 500/500 fól 1, EG 7letá</t>
  </si>
  <si>
    <t>165</t>
  </si>
  <si>
    <t>40445044.A</t>
  </si>
  <si>
    <t>Značka dopr inf IP 4b-7,10a,b 500/500 fól1,EG7letá</t>
  </si>
  <si>
    <t>166</t>
  </si>
  <si>
    <t>40445215</t>
  </si>
  <si>
    <t>Značka dopr.upr.přednost P4 900 mm, pozink.tř.1</t>
  </si>
  <si>
    <t>Dopravní značka upravující přednost - pozink s dvojitým lisovaným ohybem, reflexní tř. 1  Vynikající životnost (záruka 7 let), kvalitní zpracováním. Jejich výhody: především cena.  Všechny značky na pozinkovaném plechu od firmy DoZnač mají nyní dvojitý ohyb v prolisu i v rozích!!! V poslední době se také zvýšila jejich životnost použitím opravdu kvalitních a značkových reflexních materiálů.  Nabízí i tyto značky s výrobkovým certifikátem pro použití na pozemních komunikacích v ČR.  Průkaz způsobilosti k montážím dopravního značení. DoZnač - specialista na dopravní značení a cyklotrasy ISO 9001:2001  "Dej přednost v jízdě!" (č. P 4), která označuje vedlejší pozemní komunikaci; této značky se může užít i uvnitř větší nebo složitější křižovatky nebo na místě, kde se řidiči přikazuje, opakuje nebo zdůrazňuje povinnost dát přednost v jízdě</t>
  </si>
  <si>
    <t>167</t>
  </si>
  <si>
    <t>40445212</t>
  </si>
  <si>
    <t>Značka dopr.upr.přednost P2 500x500mm, pozink.tř.1</t>
  </si>
  <si>
    <t>Dopravní značka upravující přednost - pozink s dvojitým lisovaným ohybem, reflexní tř. 1  Vynikající životnost (záruka 7 let), kvalitní zpracováním. Jejich výhody: především cena.  Všechny značky na pozinkovaném plechu od firmy DoZnač mají nyní dvojitý ohyb v prolisu i v rozích!!! V poslední době se také zvýšila jejich životnost použitím opravdu kvalitních a značkových reflexních materiálů.  Nabízí i tyto značky s výrobkovým certifikátem pro použití na pozemních komunikacích v ČR.  Průkaz způsobilosti k montážím dopravního značení. DoZnač - specialista na dopravní značení a cyklotrasy ISO 9001:2001  Soubor všech značek, patřící do této kategorie Značky upravující přednost "Hlavní pozemní komunikace" (č. P 2), která označuje hlavní pozemní komunikaci, a to zejména v obci; značky se může užít i uvnitř větší nebo složitější křižovatky</t>
  </si>
  <si>
    <t>168</t>
  </si>
  <si>
    <t>40450216</t>
  </si>
  <si>
    <t>Dopravní příslušenství, sloupek Zn 60-350</t>
  </si>
  <si>
    <t>Příslušenství dopravních značek  Sloupek Zn 60  pozinkovaná ocel. trubka pr. 60 délky od 200 do 600 mm, tl. 2,5 m</t>
  </si>
  <si>
    <t>169</t>
  </si>
  <si>
    <t>914001127R00</t>
  </si>
  <si>
    <t>Osazení svislé dopr.značky na sloup veřej. osvětl.</t>
  </si>
  <si>
    <t>Včetně dodávky upevňovadel</t>
  </si>
  <si>
    <t>170</t>
  </si>
  <si>
    <t>914001125R00</t>
  </si>
  <si>
    <t>Osazení svislé dopr.značky na sloupek nebo konzolu</t>
  </si>
  <si>
    <t>Bourání konstrukcí</t>
  </si>
  <si>
    <t>171</t>
  </si>
  <si>
    <t>962022491R00</t>
  </si>
  <si>
    <t>Bourání zdiva nadzákladového kamenného na MC</t>
  </si>
  <si>
    <t>96_</t>
  </si>
  <si>
    <t>zídka z kam. haklíků</t>
  </si>
  <si>
    <t>V položce není kalkulována manipulace se sutí, která se oceňuje samostatně položkami souboru 979</t>
  </si>
  <si>
    <t>172</t>
  </si>
  <si>
    <t>963-01 VD</t>
  </si>
  <si>
    <t>Bourání ocel. konstrukce - lávka</t>
  </si>
  <si>
    <t>lávka ke vstupu do MěÚ</t>
  </si>
  <si>
    <t>173</t>
  </si>
  <si>
    <t>966077121R00</t>
  </si>
  <si>
    <t>Odstranění doplňkových konstrukcí do 50 kg</t>
  </si>
  <si>
    <t>informační tabule k parkovacímu poplatku - uschovat</t>
  </si>
  <si>
    <t>orientační šipky - uschovat</t>
  </si>
  <si>
    <t>174</t>
  </si>
  <si>
    <t>966006132R00</t>
  </si>
  <si>
    <t>Odstranění doprav.značek se sloupky, s bet.patkami</t>
  </si>
  <si>
    <t>Prorážení otvorů a ostatní bourací práce</t>
  </si>
  <si>
    <t>175</t>
  </si>
  <si>
    <t>979054441R00</t>
  </si>
  <si>
    <t>Očištění vybour. dlaždic s výplní kamen. těženým</t>
  </si>
  <si>
    <t>97_</t>
  </si>
  <si>
    <t>30% dlažby pro zpětné použití - šatovka</t>
  </si>
  <si>
    <t>176</t>
  </si>
  <si>
    <t>979-01 VD</t>
  </si>
  <si>
    <t>Očištění vybour. dlaždic od vodorovného značení</t>
  </si>
  <si>
    <t>350,7*0,1</t>
  </si>
  <si>
    <t>odstranění VDZ z keramické dlažby (šatovka)</t>
  </si>
  <si>
    <t>532*0,05</t>
  </si>
  <si>
    <t>odstranění VZD z kamenné dlažby (kočičí hlavy)</t>
  </si>
  <si>
    <t>177</t>
  </si>
  <si>
    <t>979071131R00</t>
  </si>
  <si>
    <t>Očištění vybouraných kostek mozaikových, kam. těž.</t>
  </si>
  <si>
    <t>(272+97)*0,8</t>
  </si>
  <si>
    <t>80% mozaiky</t>
  </si>
  <si>
    <t>178</t>
  </si>
  <si>
    <t>979071121R00</t>
  </si>
  <si>
    <t>Očištění vybour. kostek drobných s výplní kam. těž</t>
  </si>
  <si>
    <t>1134*0,8</t>
  </si>
  <si>
    <t>80% kostky 8/10</t>
  </si>
  <si>
    <t>179</t>
  </si>
  <si>
    <t>979024441R00</t>
  </si>
  <si>
    <t>Očištění vybour. obrubníků všech loží a výplní</t>
  </si>
  <si>
    <t>(444+352)*0,8</t>
  </si>
  <si>
    <t>80% pro zpětné použití</t>
  </si>
  <si>
    <t>180</t>
  </si>
  <si>
    <t>979071111R00</t>
  </si>
  <si>
    <t>Očištění vybour. kostek velkých s výplní kam. těž.</t>
  </si>
  <si>
    <t>181</t>
  </si>
  <si>
    <t>979071122R00</t>
  </si>
  <si>
    <t>Očištění vybour.kostek drobných s výplní MC/živicí</t>
  </si>
  <si>
    <t>31*0,2</t>
  </si>
  <si>
    <t>S</t>
  </si>
  <si>
    <t>Přesuny sutí</t>
  </si>
  <si>
    <t>182</t>
  </si>
  <si>
    <t>979084215R00</t>
  </si>
  <si>
    <t>Vodorovná doprava vybour. hmot po suchu do 3 km</t>
  </si>
  <si>
    <t>S_</t>
  </si>
  <si>
    <t>78,9075*2</t>
  </si>
  <si>
    <t>odvoz keram. dlažby na meziskládku a zpět</t>
  </si>
  <si>
    <t>119,88*0,8</t>
  </si>
  <si>
    <t>80% kamenných obrub na meziskládku a zpět</t>
  </si>
  <si>
    <t>77,44*0,8</t>
  </si>
  <si>
    <t>80% kamenných krajníků na meziskládku a zpět</t>
  </si>
  <si>
    <t>183</t>
  </si>
  <si>
    <t>979086213R00</t>
  </si>
  <si>
    <t>Nakládání vybouraných hmot na dopravní prostředek</t>
  </si>
  <si>
    <t>78,9075</t>
  </si>
  <si>
    <t>keram. dlažba na paletách pro odvoz z meziskládky</t>
  </si>
  <si>
    <t>95,904</t>
  </si>
  <si>
    <t>obruby pro odvoz z meziskládky</t>
  </si>
  <si>
    <t>61,952</t>
  </si>
  <si>
    <t>krajníky pro odvoz z meziskládky</t>
  </si>
  <si>
    <t>Nakládání ro vodorovnou dopravu</t>
  </si>
  <si>
    <t>184</t>
  </si>
  <si>
    <t>979083114R00</t>
  </si>
  <si>
    <t>Vodorovné přemístění suti na skládku do 3000 m</t>
  </si>
  <si>
    <t>1134*0,2*0,8*2+0,115*0,8*2</t>
  </si>
  <si>
    <t>80% kostky drobné - odvoz na meziskládku a zpět</t>
  </si>
  <si>
    <t>43,5420*0,8*2</t>
  </si>
  <si>
    <t>80% mozaika - odvoz na meziskládku a zpět</t>
  </si>
  <si>
    <t>Pro volbu položky je rozhodující dopravní vzdálenost těžiště skládky a půdorysné plochy objektu. V položce jsou zakalkulovány i náklady na naložení suti na dopravní prostředek a složení</t>
  </si>
  <si>
    <t>185</t>
  </si>
  <si>
    <t>979086112R00</t>
  </si>
  <si>
    <t>Nakládání nebo překládání suti a vybouraných hmot</t>
  </si>
  <si>
    <t>1134*0,2*0,8+115*0,8+43,542*0,8</t>
  </si>
  <si>
    <t>pro odvoz z meziskládky kostky+mozaika</t>
  </si>
  <si>
    <t>186</t>
  </si>
  <si>
    <t>(-64,066-23,1-104,104-59,4)*0,7*0,225</t>
  </si>
  <si>
    <t>(-133,805-16-11)*0,7*0,225</t>
  </si>
  <si>
    <t>(-27,5-60,5)*0,138</t>
  </si>
  <si>
    <t>*  bet. dlažba</t>
  </si>
  <si>
    <t>(-9-26)*0,138</t>
  </si>
  <si>
    <t>**  bet. dlažba</t>
  </si>
  <si>
    <t>187</t>
  </si>
  <si>
    <t>979084216R00</t>
  </si>
  <si>
    <t>Vodorovná doprava vybour. hmot po suchu do 5 km</t>
  </si>
  <si>
    <t>(642-444*0,8)*0,2/2</t>
  </si>
  <si>
    <t>1/2 chybějících obrub dovezena ze skladu</t>
  </si>
  <si>
    <t>188</t>
  </si>
  <si>
    <t>3267,88+96*0,2+90,743+8,7084+77,708+15,488</t>
  </si>
  <si>
    <t>kamení</t>
  </si>
  <si>
    <t>zemina</t>
  </si>
  <si>
    <t>-11,50892-1,01244-666,91064</t>
  </si>
  <si>
    <t>*  kamení</t>
  </si>
  <si>
    <t>-4,83044-0,4012-344,72504</t>
  </si>
  <si>
    <t>189</t>
  </si>
  <si>
    <t>63,411+70,7831+32,94+5,304</t>
  </si>
  <si>
    <t>190</t>
  </si>
  <si>
    <t>979-02 VD</t>
  </si>
  <si>
    <t>Doprava a likvidace nekontaminovaných odpadů - asfaltové směsi bez obsahu dehtu kód odpadu 17 03 02</t>
  </si>
  <si>
    <t>10,23+17,226+12,54</t>
  </si>
  <si>
    <t>asfaltové směsi</t>
  </si>
  <si>
    <t>Poznámka:</t>
  </si>
  <si>
    <t>OBSAH
1. veškeré poplatky provozovateli skládky, recyklační linky nebo jiného zařízení na zpracování nebo likvidaci odpadů související s převzetím, uložením, zpracováním nebo likvidaci odpadu.
2. náklady spojené s nakládáním, dopravou a vyložením odpadu z místa stavby na místo převzetí provozovatelem skládky, recyklační linky nebo jiného zařízení na zpracování nebo likvidaci odpadu.
ZPŮSOB MĚŘENÍ
1.Tunou se rozumí hmotnost odpadu vytříděného v souladu se zákonem č. 541/2020 Sb. O odpadech v platném znění.
2. Hmotnost zeminy s kamením a štěrku  je uvažovaná v hodnotě 1,8t/m3, ostatní hmotnosti suti jsou uváděny dle z údajů ve sloupci "suť - celkem" uvedených u jednotlvých položek konkrétních odpadových materiálů.</t>
  </si>
  <si>
    <t>191</t>
  </si>
  <si>
    <t>979-03 VD</t>
  </si>
  <si>
    <t>184,1175</t>
  </si>
  <si>
    <t>Ostatní materiál</t>
  </si>
  <si>
    <t>192</t>
  </si>
  <si>
    <t>553-01 VD</t>
  </si>
  <si>
    <t>Zábradlí ocelové trubkové, pozink, 2x lak, RAL9006, včetně ukotvení</t>
  </si>
  <si>
    <t>0</t>
  </si>
  <si>
    <t>Z99999_</t>
  </si>
  <si>
    <t>Z_</t>
  </si>
  <si>
    <t>7,3</t>
  </si>
  <si>
    <t>193</t>
  </si>
  <si>
    <t>749-01 VD</t>
  </si>
  <si>
    <t>Koš odpadkový, ocelová konstrukce, kruhový půdorys, opláštěný 3 panely z drážk. plechu, lak, vnitřní nádoba 50 l</t>
  </si>
  <si>
    <t>194</t>
  </si>
  <si>
    <t>749-02 VD</t>
  </si>
  <si>
    <t>Lavička bez opěradla tropické dřevo opatřené olejem / kov</t>
  </si>
  <si>
    <t>195</t>
  </si>
  <si>
    <t>749-03 VD</t>
  </si>
  <si>
    <t>Stojan na kola, ocel. kce z L profilu, pozink, lak, pryžový pás</t>
  </si>
  <si>
    <t>749-04 VD</t>
  </si>
  <si>
    <t>Sloupek zahrazovací pevný, slitina hliníku, lak</t>
  </si>
  <si>
    <t>749-05 VD</t>
  </si>
  <si>
    <t>Sloupek zahrazovací výsuvný, slitina hliníku, lak</t>
  </si>
  <si>
    <t>998223011R00</t>
  </si>
  <si>
    <t>Přesun hmot, pozemní komunikace, kryt dlážděný</t>
  </si>
  <si>
    <t>Celkem:</t>
  </si>
  <si>
    <t>Části bouraných i nových ploch jsou zahrnuty v rozpočtech objektů vodovodů a kanalizací. Tyto plochy jsou od výměr odečteny a rozměry označeny následovně:
* plochy v rámci objektů kanalizací SO 200a, SO 200b, SO 202a, SO 202b
** plochy v rámci objektů vodovodů SO 300a, SO 300b, SO 302a, SO302b
Vlastní položky, označené VD jsou blíže specifikovány v projektové dokumentaci</t>
  </si>
  <si>
    <t>SO 102 – Komunikace a zpevněné plochy  ul. Kotlářská</t>
  </si>
  <si>
    <t>4+20+26+13</t>
  </si>
  <si>
    <t>12*0,5</t>
  </si>
  <si>
    <t>432</t>
  </si>
  <si>
    <t>36+6</t>
  </si>
  <si>
    <t>chodník</t>
  </si>
  <si>
    <t>12*0,3</t>
  </si>
  <si>
    <t>v napojení</t>
  </si>
  <si>
    <t>-159,314-41,8</t>
  </si>
  <si>
    <t>-85,063-27</t>
  </si>
  <si>
    <t>432+36+6</t>
  </si>
  <si>
    <t>vjezd</t>
  </si>
  <si>
    <t>0,6*120</t>
  </si>
  <si>
    <t>provizorní zapravení po VO a MAN</t>
  </si>
  <si>
    <t>přídlažba z šatovek</t>
  </si>
  <si>
    <t>113231536R00</t>
  </si>
  <si>
    <t>Bourání odvodňovacího žlabu, š.400 mm</t>
  </si>
  <si>
    <t>2,5</t>
  </si>
  <si>
    <t>Položka obsahuje vybourání odvodňovacího žlabu včetně betonového lože</t>
  </si>
  <si>
    <t>70-0,7</t>
  </si>
  <si>
    <t>167*0,5*0,5*0,7</t>
  </si>
  <si>
    <t>322*0,3*0,5*0,7</t>
  </si>
  <si>
    <t>122301101R00</t>
  </si>
  <si>
    <t>Odkopávky nezapažené v hor. 4 do 100 m3</t>
  </si>
  <si>
    <t>70*0,3</t>
  </si>
  <si>
    <t>167*0,5*0,5*0,3</t>
  </si>
  <si>
    <t>322*0,3*0,5*0,3</t>
  </si>
  <si>
    <t>7*0,7</t>
  </si>
  <si>
    <t>7*0,3</t>
  </si>
  <si>
    <t>6*0,7</t>
  </si>
  <si>
    <t>12*0,7</t>
  </si>
  <si>
    <t>8*0,7</t>
  </si>
  <si>
    <t>pro základy schodiště</t>
  </si>
  <si>
    <t>6*0,3</t>
  </si>
  <si>
    <t>8*0,3</t>
  </si>
  <si>
    <t>0,4*0,6*120</t>
  </si>
  <si>
    <t>0,4*0,6*120*2</t>
  </si>
  <si>
    <t>167+322</t>
  </si>
  <si>
    <t>194,05*1,6</t>
  </si>
  <si>
    <t>;ztratné 3%; 1,89</t>
  </si>
  <si>
    <t>63*0,5</t>
  </si>
  <si>
    <t>5,5</t>
  </si>
  <si>
    <t>0,75+0,5+15,4</t>
  </si>
  <si>
    <t>48*4,44/1000</t>
  </si>
  <si>
    <t>;ztratné 5%; 0,010656</t>
  </si>
  <si>
    <t>1,5*1,5*0,1</t>
  </si>
  <si>
    <t>pod sochu</t>
  </si>
  <si>
    <t>0,35*0,35*0,3*2</t>
  </si>
  <si>
    <t>275313811R00</t>
  </si>
  <si>
    <t>Beton základových patek prostý C 30/37</t>
  </si>
  <si>
    <t>1,5*1,5*1+1*1*0,2</t>
  </si>
  <si>
    <t>socha</t>
  </si>
  <si>
    <t>Položka obsahuje náklady na dodávku a uložení betonu do připravené konstrukce. Bednění se oceňuje samostatně.</t>
  </si>
  <si>
    <t>0,35*0,3*4*2</t>
  </si>
  <si>
    <t>1,5*1*4+1*0,2*4</t>
  </si>
  <si>
    <t>7,64</t>
  </si>
  <si>
    <t>57,5</t>
  </si>
  <si>
    <t>Kamenný blok 0,43x0,2 m, dl. 0,4-1 m, tryskaný povrch, žula, sv. šedá</t>
  </si>
  <si>
    <t>15,4</t>
  </si>
  <si>
    <t>Kamenný blok 0,12x0,43 m, dl. 0,4-1 m, tryskaný povrch, žula, sv. šedá</t>
  </si>
  <si>
    <t>23,3</t>
  </si>
  <si>
    <t>Kamenný blok 0,12x0,4 m, dl. 0,4-1 m, tryskaný povrch, žula, sv. šedá</t>
  </si>
  <si>
    <t>15,1</t>
  </si>
  <si>
    <t>zesílený chodník</t>
  </si>
  <si>
    <t>-61,79-5,5</t>
  </si>
  <si>
    <t>-30,74-3</t>
  </si>
  <si>
    <t>322</t>
  </si>
  <si>
    <t>-187</t>
  </si>
  <si>
    <t>-69</t>
  </si>
  <si>
    <t>odpočet za lehkou konstrukci</t>
  </si>
  <si>
    <t>-67,75-36,3</t>
  </si>
  <si>
    <t>-47,716-27</t>
  </si>
  <si>
    <t>vozovka, tl. vrstvy 20-24 cm</t>
  </si>
  <si>
    <t>322*0,5*2</t>
  </si>
  <si>
    <t>167*0,5*2</t>
  </si>
  <si>
    <t>;ztratné 2%; 1,0194</t>
  </si>
  <si>
    <t>354</t>
  </si>
  <si>
    <t>-3,1-1,5</t>
  </si>
  <si>
    <t>354-3,1-1,5</t>
  </si>
  <si>
    <t>;ztratné 2%; 3,41268</t>
  </si>
  <si>
    <t>3,1</t>
  </si>
  <si>
    <t>1,5</t>
  </si>
  <si>
    <t>;ztratné 5%; 0,155</t>
  </si>
  <si>
    <t>;ztratné 5%; 0,075</t>
  </si>
  <si>
    <t>594-01 VD</t>
  </si>
  <si>
    <t>Kladení dlažby z velkých kamenných desek,lože z kam.těž.10-20 cm</t>
  </si>
  <si>
    <t>0,3*0,6*13</t>
  </si>
  <si>
    <t>Deska dlažební  pískovec  tl. 10 cm, 0,3x0,6 m</t>
  </si>
  <si>
    <t>;ztratné 1%; 0,11</t>
  </si>
  <si>
    <t>;ztratné 1%; 0,88</t>
  </si>
  <si>
    <t>Značka dopr dodat E 9,10,13 500/500 fól 1, EG 7 letá</t>
  </si>
  <si>
    <t>odpadkové koše, cedule</t>
  </si>
  <si>
    <t>966005111R00</t>
  </si>
  <si>
    <t>Rozebrání zábradlí, sloupky s bet. patkami</t>
  </si>
  <si>
    <t>M23</t>
  </si>
  <si>
    <t>Montáže potrubí</t>
  </si>
  <si>
    <t>230-01 VD</t>
  </si>
  <si>
    <t>Úprava uložení stávajících kabelů VO a Cetin po odstranění kanalizační šachty, za přítomnosti správců sítí</t>
  </si>
  <si>
    <t>M23_</t>
  </si>
  <si>
    <t>63,36+70,7621+31,86+17,94+0,295</t>
  </si>
  <si>
    <t>17,3</t>
  </si>
  <si>
    <t>Části bouraných i nových ploch jsou zahrnuty v rozpočtech objektů vodovodů a kanalizací. Tyto plochy jsou od výměr odečteny a rozměry označeny následovně:
* plochy v rámci objektů kanalizací SO 201a, SO 201b
** plochy v rámci objektů vodovodů SO 301a, SO301b
Vlastní položky, označené VD jsou blíže specifikovány v projektové dokumentaci</t>
  </si>
  <si>
    <t>kpl</t>
  </si>
  <si>
    <t>Vedlejší a ostatní náklady</t>
  </si>
  <si>
    <t>VORN - Vedlejší a ostatní rozpočtové náklady</t>
  </si>
  <si>
    <t>01VRN</t>
  </si>
  <si>
    <t>Vedlejší rozpočtové náklady</t>
  </si>
  <si>
    <t>010001VRN</t>
  </si>
  <si>
    <t>Vytyčení inženýrských sítí</t>
  </si>
  <si>
    <t>Soubor</t>
  </si>
  <si>
    <t>01VRN_</t>
  </si>
  <si>
    <t> _</t>
  </si>
  <si>
    <t>012002VRN</t>
  </si>
  <si>
    <t>Vytyčení stavby</t>
  </si>
  <si>
    <t>011002VRN</t>
  </si>
  <si>
    <t>Průzkumy - sondy (podzemních prostor, sklepů apod.)</t>
  </si>
  <si>
    <t>013002VRN</t>
  </si>
  <si>
    <t>Zkoušky - zkoušky konstrukcí a prací zkušebnou zhotovitele - veškeré náklady spojené s požadovanými zkouškami dle platných CSN, EN, TP a TKP</t>
  </si>
  <si>
    <t>013003VRN</t>
  </si>
  <si>
    <t>Zkoušky - zkoušky materiálů zkušebnou zhotovitele - veškeré náklady spojené s požadovanými zkouškami dle platných CSN, EN, TP a TKP</t>
  </si>
  <si>
    <t>040001VRN</t>
  </si>
  <si>
    <t>Inženýrské činnosti - koordinační činnost generálního zhotovitele</t>
  </si>
  <si>
    <t>040003VRN</t>
  </si>
  <si>
    <t>Inženýrské činnosti - koordinační činnost stavbou vyvolanou - případné přeložky, koordinace s archeologickým průzkumem a dohledem</t>
  </si>
  <si>
    <t>040004VRN</t>
  </si>
  <si>
    <t>Inženýrské činnosti - koordinační činnost s případnou rekonstrukcí střechy a fasády kostela (Římskokatolická farnost Třebíč)</t>
  </si>
  <si>
    <t>043003VRN</t>
  </si>
  <si>
    <t>02ON</t>
  </si>
  <si>
    <t>Ostatní náklady</t>
  </si>
  <si>
    <t>020001ON</t>
  </si>
  <si>
    <t>Zařízení staveniště</t>
  </si>
  <si>
    <t>02ON_</t>
  </si>
  <si>
    <t>020002ON</t>
  </si>
  <si>
    <t>Ochrana stávaj. inženýrských sítí na staveništi</t>
  </si>
  <si>
    <t>020003ON</t>
  </si>
  <si>
    <t>Dočasná dopravní opatření včetně dopravního značení, zajištění vydání všech potřebných rozhodnutí a stanovení pro přechodnou úpravu provozu na  PK</t>
  </si>
  <si>
    <t>020005ON</t>
  </si>
  <si>
    <t>Dokumentace skutečného provedení - mimo SO 401 a 402 - Veřejné osvětlení</t>
  </si>
  <si>
    <t>020006ON</t>
  </si>
  <si>
    <t>020007ON</t>
  </si>
  <si>
    <t>Vypracování pasportizace stávajícího stavu před zahájením stavby a v průběhu stavby, včetně okolních objektů, pasportizace dokončené stavby</t>
  </si>
  <si>
    <t>020008ON</t>
  </si>
  <si>
    <t>Geodetické práce - soustavné vytyčování zřetelného označení obvodu staveniště</t>
  </si>
  <si>
    <t>020009ON</t>
  </si>
  <si>
    <t>Náklady na činnost úředně oprávněného zeměměřičského inženýra zhotovitele</t>
  </si>
  <si>
    <t>020010ON</t>
  </si>
  <si>
    <t>Hutnící zkoušky - zatěžovací deska, penetrační jehla</t>
  </si>
  <si>
    <t>020011ON</t>
  </si>
  <si>
    <t>Geometrický plán stavby a geom. plány pro zřízení věcných břemen týkajících se přeložek inž. sítí</t>
  </si>
  <si>
    <t>020012ON</t>
  </si>
  <si>
    <t>Zajištění vydání všech potřebných rozhodnutí a stanovení pro přechodnou úpravu provozu na pozemních komunikacích</t>
  </si>
  <si>
    <t>020013ON</t>
  </si>
  <si>
    <t>Poplatky a zajištění výluk na propojení inž. sítí</t>
  </si>
  <si>
    <t>020014ON</t>
  </si>
  <si>
    <t>Zajištění bezpečného přístupu pro majitele objektů a zákazníky přilehlých provozoven a nemovitostí</t>
  </si>
  <si>
    <t>020015ON</t>
  </si>
  <si>
    <t>Zajištění možnosti příjezdu vozidel složek záchranného systému</t>
  </si>
  <si>
    <t>020016ON</t>
  </si>
  <si>
    <t>Náklady na bezodkladnou očistu pozemních komunikací v případě znečištění</t>
  </si>
  <si>
    <t>020017ON</t>
  </si>
  <si>
    <t>020018ON</t>
  </si>
  <si>
    <t>Náklady stanovené zvláštními předpisy - předpisy města Třebíč, odboru dopravy a komunálních služeb, odboru investic</t>
  </si>
  <si>
    <t>020019-ON</t>
  </si>
  <si>
    <t>Zajištění veškeré nutné ochrany díla, staveniště</t>
  </si>
  <si>
    <t>020020-ON</t>
  </si>
  <si>
    <t>Zajištění pracoviště proti všem vlivům znemožňujícím nebo znesnadňujícím práci</t>
  </si>
  <si>
    <t>020021-ON</t>
  </si>
  <si>
    <t>Náklady spojené s požadavbky uvedenými v obchodních podmínkách zadavatele (např. náklady na pojištění, náklady spojené s vyřízením bank. záruk atd.)</t>
  </si>
  <si>
    <t>020022-ON</t>
  </si>
  <si>
    <t>Náklady na provizorní osvětlení veřejných ploch, k odstávce VO nesmí dojít v nočních hodinách</t>
  </si>
  <si>
    <t>020023-ON</t>
  </si>
  <si>
    <t>Zajištění zimní údržby v prostoru staveniště - zajištění schůdnosti chodníků a přístupných komunikací</t>
  </si>
  <si>
    <t>020024-ON</t>
  </si>
  <si>
    <t>Užívání veřejných ploch a prostranství</t>
  </si>
  <si>
    <t>Zajištění dopravy a mechanizace pro přepravu z atelieru restaurátora (Kamenný Malíkov 33, Nová Včelnice) a osazení sochy, osazení a ukotvení za přítomnosti  restaurátora a pracovníka památkové péče</t>
  </si>
  <si>
    <t>IČO/DIČ:</t>
  </si>
  <si>
    <t>00290629/CZ00290629</t>
  </si>
  <si>
    <t>Rekonstrukce</t>
  </si>
  <si>
    <t>10854339/CZ10854339</t>
  </si>
  <si>
    <t>Položek:</t>
  </si>
  <si>
    <t>Datum:</t>
  </si>
  <si>
    <t>Rozpočtové náklady v Kč</t>
  </si>
  <si>
    <t>STAVEBNÍ OBJEKT</t>
  </si>
  <si>
    <t>SO 101 - KOMUNIKACE A ZPEVNĚNÉ PLOCHY  UL. HASSKOVA A MARTINSKÉ NÁM.</t>
  </si>
  <si>
    <t>SO 102 - KOMUNIKACE A ZPEVNĚNÉ PLOCHY  UL. KOTLÁŘSKÁ</t>
  </si>
  <si>
    <t>SO 401 - VEŘEJNÉ OSVĚTLENÍ UL. HASSKOVA A MARTINSKÉ NÁM.</t>
  </si>
  <si>
    <t>SO 402 - VEŘEJNÉ OSVĚTLENÍ UL. KOTLÁŘSKÁ</t>
  </si>
  <si>
    <t>SO 403 - MAN UL. HASSKOVA A MARTINSKÉ NÁM.</t>
  </si>
  <si>
    <t>SO 404 - MAN UL. KOTLÁŘSKÁ</t>
  </si>
  <si>
    <t>SO 801 - SADOVÉ ÚPRAVY UL. HASSKOVA A MARTINSKÉ NÁM.</t>
  </si>
  <si>
    <t>SO 802 - SADOVÉ ÚPRAVY UL. KOTLÁŘSKÁ</t>
  </si>
  <si>
    <t>VEDLEJŠÍ A OSTATNÍ NÁKLADY</t>
  </si>
  <si>
    <t>Celkem bez DPH</t>
  </si>
  <si>
    <t>Projektant</t>
  </si>
  <si>
    <t>Objednatel</t>
  </si>
  <si>
    <t>Zhotovitel</t>
  </si>
  <si>
    <t>Datum, razítko a podpis</t>
  </si>
  <si>
    <t>Ing. Josef Klíma</t>
  </si>
  <si>
    <t>SO 401 – Veřejné osvětlení ul. Hasskova a Martinské nám.</t>
  </si>
  <si>
    <t>Elektro - ing. Klíma s.r.o.</t>
  </si>
  <si>
    <t>SO 403 – MAN ul. Hasskova a Martinské nám.</t>
  </si>
  <si>
    <t>SO 402 – Veřejné osvětlení ul. Kotlářská</t>
  </si>
  <si>
    <t>SO 404 – MAN ul. Kotlářská</t>
  </si>
  <si>
    <r>
      <t xml:space="preserve">SO 801 – </t>
    </r>
    <r>
      <rPr>
        <sz val="10"/>
        <color rgb="FF000000"/>
        <rFont val="Arial"/>
        <family val="2"/>
      </rPr>
      <t>Sadové úpravy ul. Hasskova a Martinské nám.</t>
    </r>
  </si>
  <si>
    <t>Ing.Eva Wágnerová</t>
  </si>
  <si>
    <t>SO 802 – Sadové úpravy ul. Kotlářská</t>
  </si>
  <si>
    <t>Zajištění dokladu o předání pozemků dočasně dotčených stavbou vlastníků s vyjádřením vlastníků pozemků, že souhlasí se stavem, v jakém jsou pozemky předány</t>
  </si>
  <si>
    <t>Vypracování fotodokumentace - požadovaného děje a konstrukcí v požadovaných časových intervalech fotografie v papírovéma digitálním formátu v požadovaném počtu</t>
  </si>
  <si>
    <t>19.01.2023</t>
  </si>
  <si>
    <t>Doprava a likvidace nekontaminovaných odpadů - zeminy a kamení kód odpadu 17 05 04</t>
  </si>
  <si>
    <t>1366,5*1,8</t>
  </si>
  <si>
    <t>Doprava a likvidace nekontaminovaných odpadů - beton kód odpadu 17 01 01</t>
  </si>
  <si>
    <t>OBSAH, ZPŮSOB MĚŘENÍ - viz. položka 997-01 VD</t>
  </si>
  <si>
    <t>979-04 VD</t>
  </si>
  <si>
    <t>Doprava a likvidace nekontaminovaných odpadů - stavební keramika, skupina odpadu 170103</t>
  </si>
  <si>
    <t>194,05*1,8</t>
  </si>
  <si>
    <t>Doprava a likvidace nekontaminovaných odpadů - beton, skupina odpadu 170101</t>
  </si>
  <si>
    <t>OBSAH, ZPŮSOB MĚŘENÍ - viz. položka 979-01 VD</t>
  </si>
  <si>
    <t>Souhrnný soupis stavebních prací, dodávek a služeb</t>
  </si>
  <si>
    <t>Kamenické oprac.kamenných obrub do požadovaného tvaru - dle výkresu č. 07 - Detaily</t>
  </si>
  <si>
    <t>Pokud nebude možné upravit stávající obruby, mohou být použity nové - dle výkresu č. 07a - Detaily - variantní řešení sklopené obruby</t>
  </si>
  <si>
    <t>Kamenické oprac.kamenných krajníků do požadovaného tvaru - dle výkr. č. 04 - Vzorové řezy a detaily a příl. C6 - obr. na str.6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</si>
</sst>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name val="Arial CE"/>
      <family val="2"/>
    </font>
    <font>
      <i/>
      <sz val="10"/>
      <color rgb="FF000000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C0C0C0"/>
      </left>
      <right/>
      <top/>
      <bottom/>
    </border>
    <border>
      <left/>
      <right style="thin">
        <color rgb="FFC0C0C0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7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" fontId="5" fillId="2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" fontId="4" fillId="0" borderId="15" xfId="0" applyNumberFormat="1" applyFont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0" xfId="0" applyFont="1"/>
    <xf numFmtId="0" fontId="3" fillId="0" borderId="20" xfId="0" applyFont="1" applyBorder="1"/>
    <xf numFmtId="0" fontId="3" fillId="0" borderId="21" xfId="0" applyFont="1" applyBorder="1"/>
    <xf numFmtId="4" fontId="8" fillId="0" borderId="22" xfId="0" applyNumberFormat="1" applyFont="1" applyBorder="1"/>
    <xf numFmtId="0" fontId="8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4" fontId="8" fillId="0" borderId="26" xfId="0" applyNumberFormat="1" applyFont="1" applyBorder="1"/>
    <xf numFmtId="4" fontId="9" fillId="2" borderId="27" xfId="0" applyNumberFormat="1" applyFont="1" applyFill="1" applyBorder="1" applyAlignment="1">
      <alignment horizontal="right" vertical="center"/>
    </xf>
    <xf numFmtId="4" fontId="9" fillId="2" borderId="13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4" fontId="5" fillId="2" borderId="17" xfId="0" applyNumberFormat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3" fillId="0" borderId="23" xfId="0" applyFont="1" applyBorder="1"/>
    <xf numFmtId="0" fontId="3" fillId="0" borderId="24" xfId="0" applyFont="1" applyBorder="1"/>
    <xf numFmtId="4" fontId="5" fillId="0" borderId="24" xfId="0" applyNumberFormat="1" applyFont="1" applyBorder="1" applyAlignment="1">
      <alignment horizontal="right" vertical="center"/>
    </xf>
    <xf numFmtId="0" fontId="3" fillId="0" borderId="25" xfId="0" applyFont="1" applyBorder="1"/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/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0" fontId="3" fillId="0" borderId="2" xfId="0" applyFont="1" applyBorder="1"/>
    <xf numFmtId="0" fontId="12" fillId="0" borderId="0" xfId="0" applyFont="1" applyAlignment="1">
      <alignment horizontal="righ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0" xfId="0" applyNumberFormat="1" applyFont="1" applyFill="1" applyAlignment="1">
      <alignment horizontal="right" vertical="center"/>
    </xf>
    <xf numFmtId="4" fontId="4" fillId="3" borderId="15" xfId="0" applyNumberFormat="1" applyFont="1" applyFill="1" applyBorder="1" applyAlignment="1">
      <alignment horizontal="right" vertical="center"/>
    </xf>
    <xf numFmtId="0" fontId="13" fillId="3" borderId="14" xfId="0" applyFont="1" applyFill="1" applyBorder="1"/>
    <xf numFmtId="0" fontId="13" fillId="3" borderId="0" xfId="0" applyFont="1" applyFill="1"/>
    <xf numFmtId="0" fontId="12" fillId="3" borderId="0" xfId="0" applyFont="1" applyFill="1" applyAlignment="1">
      <alignment horizontal="left" vertical="center"/>
    </xf>
    <xf numFmtId="4" fontId="12" fillId="3" borderId="0" xfId="0" applyNumberFormat="1" applyFont="1" applyFill="1" applyAlignment="1">
      <alignment horizontal="right" vertical="center"/>
    </xf>
    <xf numFmtId="0" fontId="13" fillId="3" borderId="15" xfId="0" applyFont="1" applyFill="1" applyBorder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" fontId="4" fillId="4" borderId="0" xfId="0" applyNumberFormat="1" applyFont="1" applyFill="1" applyAlignment="1" applyProtection="1">
      <alignment horizontal="right" vertical="center"/>
      <protection locked="0"/>
    </xf>
    <xf numFmtId="4" fontId="4" fillId="4" borderId="11" xfId="0" applyNumberFormat="1" applyFont="1" applyFill="1" applyBorder="1" applyAlignment="1" applyProtection="1">
      <alignment horizontal="right" vertical="center"/>
      <protection locked="0"/>
    </xf>
    <xf numFmtId="4" fontId="4" fillId="4" borderId="0" xfId="0" applyNumberFormat="1" applyFont="1" applyFill="1" applyAlignment="1" applyProtection="1">
      <alignment horizontal="right" vertical="center"/>
      <protection locked="0"/>
    </xf>
    <xf numFmtId="4" fontId="4" fillId="4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&#345;eb&#237;&#269;_Martin_n&#225;m\PDPS\rozpo&#269;et\01_2023\N970_T&#345;eb&#237;&#269;_SO_801_v&#253;kaz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&#345;eb&#237;&#269;_Martin_n&#225;m\PDPS\rozpo&#269;et\rozpo&#269;et%20souhrnn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SO 801</v>
          </cell>
          <cell r="C5" t="str">
            <v>Revitalizace lokality Martinské náměstí</v>
          </cell>
        </row>
        <row r="7">
          <cell r="A7" t="str">
            <v>N970/11/2</v>
          </cell>
          <cell r="C7" t="str">
            <v>Třebíč -Martinské náměstí-sadové úpravy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Stavební rozpočet"/>
    </sheetNames>
    <sheetDataSet>
      <sheetData sheetId="0" refreshError="1"/>
      <sheetData sheetId="1">
        <row r="2">
          <cell r="C2" t="str">
            <v>Revitalizace lokality Martinské náměstí, Třebíč</v>
          </cell>
          <cell r="I2" t="str">
            <v>město Třebíč, Karlovo náměstí 104/55, 674 01 Třebíč</v>
          </cell>
        </row>
        <row r="4">
          <cell r="I4" t="str">
            <v>MATULA projekt s.r.o., Jana Babáka 11, 612 00 Brno</v>
          </cell>
        </row>
        <row r="6">
          <cell r="C6" t="str">
            <v>Třebíč, Vysočina</v>
          </cell>
          <cell r="G6" t="str">
            <v> </v>
          </cell>
          <cell r="I6" t="str">
            <v> </v>
          </cell>
        </row>
        <row r="8">
          <cell r="C8" t="str">
            <v> </v>
          </cell>
          <cell r="I8" t="str">
            <v>Ing. Radka Matulová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 topLeftCell="A1">
      <selection activeCell="I14" sqref="I14"/>
    </sheetView>
  </sheetViews>
  <sheetFormatPr defaultColWidth="12.140625" defaultRowHeight="15"/>
  <cols>
    <col min="1" max="1" width="9.140625" style="1" customWidth="1"/>
    <col min="2" max="2" width="7.421875" style="1" customWidth="1"/>
    <col min="3" max="3" width="22.28125" style="1" customWidth="1"/>
    <col min="4" max="4" width="2.8515625" style="1" customWidth="1"/>
    <col min="5" max="5" width="11.00390625" style="1" customWidth="1"/>
    <col min="6" max="6" width="27.140625" style="1" customWidth="1"/>
    <col min="7" max="7" width="7.421875" style="1" customWidth="1"/>
    <col min="8" max="8" width="16.421875" style="1" customWidth="1"/>
    <col min="9" max="9" width="20.421875" style="1" customWidth="1"/>
    <col min="10" max="256" width="12.140625" style="1" customWidth="1"/>
    <col min="257" max="257" width="9.140625" style="1" customWidth="1"/>
    <col min="258" max="258" width="7.421875" style="1" customWidth="1"/>
    <col min="259" max="259" width="22.28125" style="1" customWidth="1"/>
    <col min="260" max="260" width="2.8515625" style="1" customWidth="1"/>
    <col min="261" max="261" width="11.00390625" style="1" customWidth="1"/>
    <col min="262" max="262" width="27.140625" style="1" customWidth="1"/>
    <col min="263" max="263" width="7.421875" style="1" customWidth="1"/>
    <col min="264" max="264" width="16.421875" style="1" customWidth="1"/>
    <col min="265" max="265" width="20.421875" style="1" customWidth="1"/>
    <col min="266" max="512" width="12.140625" style="1" customWidth="1"/>
    <col min="513" max="513" width="9.140625" style="1" customWidth="1"/>
    <col min="514" max="514" width="7.421875" style="1" customWidth="1"/>
    <col min="515" max="515" width="22.28125" style="1" customWidth="1"/>
    <col min="516" max="516" width="2.8515625" style="1" customWidth="1"/>
    <col min="517" max="517" width="11.00390625" style="1" customWidth="1"/>
    <col min="518" max="518" width="27.140625" style="1" customWidth="1"/>
    <col min="519" max="519" width="7.421875" style="1" customWidth="1"/>
    <col min="520" max="520" width="16.421875" style="1" customWidth="1"/>
    <col min="521" max="521" width="20.421875" style="1" customWidth="1"/>
    <col min="522" max="768" width="12.140625" style="1" customWidth="1"/>
    <col min="769" max="769" width="9.140625" style="1" customWidth="1"/>
    <col min="770" max="770" width="7.421875" style="1" customWidth="1"/>
    <col min="771" max="771" width="22.28125" style="1" customWidth="1"/>
    <col min="772" max="772" width="2.8515625" style="1" customWidth="1"/>
    <col min="773" max="773" width="11.00390625" style="1" customWidth="1"/>
    <col min="774" max="774" width="27.140625" style="1" customWidth="1"/>
    <col min="775" max="775" width="7.421875" style="1" customWidth="1"/>
    <col min="776" max="776" width="16.421875" style="1" customWidth="1"/>
    <col min="777" max="777" width="20.421875" style="1" customWidth="1"/>
    <col min="778" max="1024" width="12.140625" style="1" customWidth="1"/>
    <col min="1025" max="1025" width="9.140625" style="1" customWidth="1"/>
    <col min="1026" max="1026" width="7.421875" style="1" customWidth="1"/>
    <col min="1027" max="1027" width="22.28125" style="1" customWidth="1"/>
    <col min="1028" max="1028" width="2.8515625" style="1" customWidth="1"/>
    <col min="1029" max="1029" width="11.00390625" style="1" customWidth="1"/>
    <col min="1030" max="1030" width="27.140625" style="1" customWidth="1"/>
    <col min="1031" max="1031" width="7.421875" style="1" customWidth="1"/>
    <col min="1032" max="1032" width="16.421875" style="1" customWidth="1"/>
    <col min="1033" max="1033" width="20.421875" style="1" customWidth="1"/>
    <col min="1034" max="1280" width="12.140625" style="1" customWidth="1"/>
    <col min="1281" max="1281" width="9.140625" style="1" customWidth="1"/>
    <col min="1282" max="1282" width="7.421875" style="1" customWidth="1"/>
    <col min="1283" max="1283" width="22.28125" style="1" customWidth="1"/>
    <col min="1284" max="1284" width="2.8515625" style="1" customWidth="1"/>
    <col min="1285" max="1285" width="11.00390625" style="1" customWidth="1"/>
    <col min="1286" max="1286" width="27.140625" style="1" customWidth="1"/>
    <col min="1287" max="1287" width="7.421875" style="1" customWidth="1"/>
    <col min="1288" max="1288" width="16.421875" style="1" customWidth="1"/>
    <col min="1289" max="1289" width="20.421875" style="1" customWidth="1"/>
    <col min="1290" max="1536" width="12.140625" style="1" customWidth="1"/>
    <col min="1537" max="1537" width="9.140625" style="1" customWidth="1"/>
    <col min="1538" max="1538" width="7.421875" style="1" customWidth="1"/>
    <col min="1539" max="1539" width="22.28125" style="1" customWidth="1"/>
    <col min="1540" max="1540" width="2.8515625" style="1" customWidth="1"/>
    <col min="1541" max="1541" width="11.00390625" style="1" customWidth="1"/>
    <col min="1542" max="1542" width="27.140625" style="1" customWidth="1"/>
    <col min="1543" max="1543" width="7.421875" style="1" customWidth="1"/>
    <col min="1544" max="1544" width="16.421875" style="1" customWidth="1"/>
    <col min="1545" max="1545" width="20.421875" style="1" customWidth="1"/>
    <col min="1546" max="1792" width="12.140625" style="1" customWidth="1"/>
    <col min="1793" max="1793" width="9.140625" style="1" customWidth="1"/>
    <col min="1794" max="1794" width="7.421875" style="1" customWidth="1"/>
    <col min="1795" max="1795" width="22.28125" style="1" customWidth="1"/>
    <col min="1796" max="1796" width="2.8515625" style="1" customWidth="1"/>
    <col min="1797" max="1797" width="11.00390625" style="1" customWidth="1"/>
    <col min="1798" max="1798" width="27.140625" style="1" customWidth="1"/>
    <col min="1799" max="1799" width="7.421875" style="1" customWidth="1"/>
    <col min="1800" max="1800" width="16.421875" style="1" customWidth="1"/>
    <col min="1801" max="1801" width="20.421875" style="1" customWidth="1"/>
    <col min="1802" max="2048" width="12.140625" style="1" customWidth="1"/>
    <col min="2049" max="2049" width="9.140625" style="1" customWidth="1"/>
    <col min="2050" max="2050" width="7.421875" style="1" customWidth="1"/>
    <col min="2051" max="2051" width="22.28125" style="1" customWidth="1"/>
    <col min="2052" max="2052" width="2.8515625" style="1" customWidth="1"/>
    <col min="2053" max="2053" width="11.00390625" style="1" customWidth="1"/>
    <col min="2054" max="2054" width="27.140625" style="1" customWidth="1"/>
    <col min="2055" max="2055" width="7.421875" style="1" customWidth="1"/>
    <col min="2056" max="2056" width="16.421875" style="1" customWidth="1"/>
    <col min="2057" max="2057" width="20.421875" style="1" customWidth="1"/>
    <col min="2058" max="2304" width="12.140625" style="1" customWidth="1"/>
    <col min="2305" max="2305" width="9.140625" style="1" customWidth="1"/>
    <col min="2306" max="2306" width="7.421875" style="1" customWidth="1"/>
    <col min="2307" max="2307" width="22.28125" style="1" customWidth="1"/>
    <col min="2308" max="2308" width="2.8515625" style="1" customWidth="1"/>
    <col min="2309" max="2309" width="11.00390625" style="1" customWidth="1"/>
    <col min="2310" max="2310" width="27.140625" style="1" customWidth="1"/>
    <col min="2311" max="2311" width="7.421875" style="1" customWidth="1"/>
    <col min="2312" max="2312" width="16.421875" style="1" customWidth="1"/>
    <col min="2313" max="2313" width="20.421875" style="1" customWidth="1"/>
    <col min="2314" max="2560" width="12.140625" style="1" customWidth="1"/>
    <col min="2561" max="2561" width="9.140625" style="1" customWidth="1"/>
    <col min="2562" max="2562" width="7.421875" style="1" customWidth="1"/>
    <col min="2563" max="2563" width="22.28125" style="1" customWidth="1"/>
    <col min="2564" max="2564" width="2.8515625" style="1" customWidth="1"/>
    <col min="2565" max="2565" width="11.00390625" style="1" customWidth="1"/>
    <col min="2566" max="2566" width="27.140625" style="1" customWidth="1"/>
    <col min="2567" max="2567" width="7.421875" style="1" customWidth="1"/>
    <col min="2568" max="2568" width="16.421875" style="1" customWidth="1"/>
    <col min="2569" max="2569" width="20.421875" style="1" customWidth="1"/>
    <col min="2570" max="2816" width="12.140625" style="1" customWidth="1"/>
    <col min="2817" max="2817" width="9.140625" style="1" customWidth="1"/>
    <col min="2818" max="2818" width="7.421875" style="1" customWidth="1"/>
    <col min="2819" max="2819" width="22.28125" style="1" customWidth="1"/>
    <col min="2820" max="2820" width="2.8515625" style="1" customWidth="1"/>
    <col min="2821" max="2821" width="11.00390625" style="1" customWidth="1"/>
    <col min="2822" max="2822" width="27.140625" style="1" customWidth="1"/>
    <col min="2823" max="2823" width="7.421875" style="1" customWidth="1"/>
    <col min="2824" max="2824" width="16.421875" style="1" customWidth="1"/>
    <col min="2825" max="2825" width="20.421875" style="1" customWidth="1"/>
    <col min="2826" max="3072" width="12.140625" style="1" customWidth="1"/>
    <col min="3073" max="3073" width="9.140625" style="1" customWidth="1"/>
    <col min="3074" max="3074" width="7.421875" style="1" customWidth="1"/>
    <col min="3075" max="3075" width="22.28125" style="1" customWidth="1"/>
    <col min="3076" max="3076" width="2.8515625" style="1" customWidth="1"/>
    <col min="3077" max="3077" width="11.00390625" style="1" customWidth="1"/>
    <col min="3078" max="3078" width="27.140625" style="1" customWidth="1"/>
    <col min="3079" max="3079" width="7.421875" style="1" customWidth="1"/>
    <col min="3080" max="3080" width="16.421875" style="1" customWidth="1"/>
    <col min="3081" max="3081" width="20.421875" style="1" customWidth="1"/>
    <col min="3082" max="3328" width="12.140625" style="1" customWidth="1"/>
    <col min="3329" max="3329" width="9.140625" style="1" customWidth="1"/>
    <col min="3330" max="3330" width="7.421875" style="1" customWidth="1"/>
    <col min="3331" max="3331" width="22.28125" style="1" customWidth="1"/>
    <col min="3332" max="3332" width="2.8515625" style="1" customWidth="1"/>
    <col min="3333" max="3333" width="11.00390625" style="1" customWidth="1"/>
    <col min="3334" max="3334" width="27.140625" style="1" customWidth="1"/>
    <col min="3335" max="3335" width="7.421875" style="1" customWidth="1"/>
    <col min="3336" max="3336" width="16.421875" style="1" customWidth="1"/>
    <col min="3337" max="3337" width="20.421875" style="1" customWidth="1"/>
    <col min="3338" max="3584" width="12.140625" style="1" customWidth="1"/>
    <col min="3585" max="3585" width="9.140625" style="1" customWidth="1"/>
    <col min="3586" max="3586" width="7.421875" style="1" customWidth="1"/>
    <col min="3587" max="3587" width="22.28125" style="1" customWidth="1"/>
    <col min="3588" max="3588" width="2.8515625" style="1" customWidth="1"/>
    <col min="3589" max="3589" width="11.00390625" style="1" customWidth="1"/>
    <col min="3590" max="3590" width="27.140625" style="1" customWidth="1"/>
    <col min="3591" max="3591" width="7.421875" style="1" customWidth="1"/>
    <col min="3592" max="3592" width="16.421875" style="1" customWidth="1"/>
    <col min="3593" max="3593" width="20.421875" style="1" customWidth="1"/>
    <col min="3594" max="3840" width="12.140625" style="1" customWidth="1"/>
    <col min="3841" max="3841" width="9.140625" style="1" customWidth="1"/>
    <col min="3842" max="3842" width="7.421875" style="1" customWidth="1"/>
    <col min="3843" max="3843" width="22.28125" style="1" customWidth="1"/>
    <col min="3844" max="3844" width="2.8515625" style="1" customWidth="1"/>
    <col min="3845" max="3845" width="11.00390625" style="1" customWidth="1"/>
    <col min="3846" max="3846" width="27.140625" style="1" customWidth="1"/>
    <col min="3847" max="3847" width="7.421875" style="1" customWidth="1"/>
    <col min="3848" max="3848" width="16.421875" style="1" customWidth="1"/>
    <col min="3849" max="3849" width="20.421875" style="1" customWidth="1"/>
    <col min="3850" max="4096" width="12.140625" style="1" customWidth="1"/>
    <col min="4097" max="4097" width="9.140625" style="1" customWidth="1"/>
    <col min="4098" max="4098" width="7.421875" style="1" customWidth="1"/>
    <col min="4099" max="4099" width="22.28125" style="1" customWidth="1"/>
    <col min="4100" max="4100" width="2.8515625" style="1" customWidth="1"/>
    <col min="4101" max="4101" width="11.00390625" style="1" customWidth="1"/>
    <col min="4102" max="4102" width="27.140625" style="1" customWidth="1"/>
    <col min="4103" max="4103" width="7.421875" style="1" customWidth="1"/>
    <col min="4104" max="4104" width="16.421875" style="1" customWidth="1"/>
    <col min="4105" max="4105" width="20.421875" style="1" customWidth="1"/>
    <col min="4106" max="4352" width="12.140625" style="1" customWidth="1"/>
    <col min="4353" max="4353" width="9.140625" style="1" customWidth="1"/>
    <col min="4354" max="4354" width="7.421875" style="1" customWidth="1"/>
    <col min="4355" max="4355" width="22.28125" style="1" customWidth="1"/>
    <col min="4356" max="4356" width="2.8515625" style="1" customWidth="1"/>
    <col min="4357" max="4357" width="11.00390625" style="1" customWidth="1"/>
    <col min="4358" max="4358" width="27.140625" style="1" customWidth="1"/>
    <col min="4359" max="4359" width="7.421875" style="1" customWidth="1"/>
    <col min="4360" max="4360" width="16.421875" style="1" customWidth="1"/>
    <col min="4361" max="4361" width="20.421875" style="1" customWidth="1"/>
    <col min="4362" max="4608" width="12.140625" style="1" customWidth="1"/>
    <col min="4609" max="4609" width="9.140625" style="1" customWidth="1"/>
    <col min="4610" max="4610" width="7.421875" style="1" customWidth="1"/>
    <col min="4611" max="4611" width="22.28125" style="1" customWidth="1"/>
    <col min="4612" max="4612" width="2.8515625" style="1" customWidth="1"/>
    <col min="4613" max="4613" width="11.00390625" style="1" customWidth="1"/>
    <col min="4614" max="4614" width="27.140625" style="1" customWidth="1"/>
    <col min="4615" max="4615" width="7.421875" style="1" customWidth="1"/>
    <col min="4616" max="4616" width="16.421875" style="1" customWidth="1"/>
    <col min="4617" max="4617" width="20.421875" style="1" customWidth="1"/>
    <col min="4618" max="4864" width="12.140625" style="1" customWidth="1"/>
    <col min="4865" max="4865" width="9.140625" style="1" customWidth="1"/>
    <col min="4866" max="4866" width="7.421875" style="1" customWidth="1"/>
    <col min="4867" max="4867" width="22.28125" style="1" customWidth="1"/>
    <col min="4868" max="4868" width="2.8515625" style="1" customWidth="1"/>
    <col min="4869" max="4869" width="11.00390625" style="1" customWidth="1"/>
    <col min="4870" max="4870" width="27.140625" style="1" customWidth="1"/>
    <col min="4871" max="4871" width="7.421875" style="1" customWidth="1"/>
    <col min="4872" max="4872" width="16.421875" style="1" customWidth="1"/>
    <col min="4873" max="4873" width="20.421875" style="1" customWidth="1"/>
    <col min="4874" max="5120" width="12.140625" style="1" customWidth="1"/>
    <col min="5121" max="5121" width="9.140625" style="1" customWidth="1"/>
    <col min="5122" max="5122" width="7.421875" style="1" customWidth="1"/>
    <col min="5123" max="5123" width="22.28125" style="1" customWidth="1"/>
    <col min="5124" max="5124" width="2.8515625" style="1" customWidth="1"/>
    <col min="5125" max="5125" width="11.00390625" style="1" customWidth="1"/>
    <col min="5126" max="5126" width="27.140625" style="1" customWidth="1"/>
    <col min="5127" max="5127" width="7.421875" style="1" customWidth="1"/>
    <col min="5128" max="5128" width="16.421875" style="1" customWidth="1"/>
    <col min="5129" max="5129" width="20.421875" style="1" customWidth="1"/>
    <col min="5130" max="5376" width="12.140625" style="1" customWidth="1"/>
    <col min="5377" max="5377" width="9.140625" style="1" customWidth="1"/>
    <col min="5378" max="5378" width="7.421875" style="1" customWidth="1"/>
    <col min="5379" max="5379" width="22.28125" style="1" customWidth="1"/>
    <col min="5380" max="5380" width="2.8515625" style="1" customWidth="1"/>
    <col min="5381" max="5381" width="11.00390625" style="1" customWidth="1"/>
    <col min="5382" max="5382" width="27.140625" style="1" customWidth="1"/>
    <col min="5383" max="5383" width="7.421875" style="1" customWidth="1"/>
    <col min="5384" max="5384" width="16.421875" style="1" customWidth="1"/>
    <col min="5385" max="5385" width="20.421875" style="1" customWidth="1"/>
    <col min="5386" max="5632" width="12.140625" style="1" customWidth="1"/>
    <col min="5633" max="5633" width="9.140625" style="1" customWidth="1"/>
    <col min="5634" max="5634" width="7.421875" style="1" customWidth="1"/>
    <col min="5635" max="5635" width="22.28125" style="1" customWidth="1"/>
    <col min="5636" max="5636" width="2.8515625" style="1" customWidth="1"/>
    <col min="5637" max="5637" width="11.00390625" style="1" customWidth="1"/>
    <col min="5638" max="5638" width="27.140625" style="1" customWidth="1"/>
    <col min="5639" max="5639" width="7.421875" style="1" customWidth="1"/>
    <col min="5640" max="5640" width="16.421875" style="1" customWidth="1"/>
    <col min="5641" max="5641" width="20.421875" style="1" customWidth="1"/>
    <col min="5642" max="5888" width="12.140625" style="1" customWidth="1"/>
    <col min="5889" max="5889" width="9.140625" style="1" customWidth="1"/>
    <col min="5890" max="5890" width="7.421875" style="1" customWidth="1"/>
    <col min="5891" max="5891" width="22.28125" style="1" customWidth="1"/>
    <col min="5892" max="5892" width="2.8515625" style="1" customWidth="1"/>
    <col min="5893" max="5893" width="11.00390625" style="1" customWidth="1"/>
    <col min="5894" max="5894" width="27.140625" style="1" customWidth="1"/>
    <col min="5895" max="5895" width="7.421875" style="1" customWidth="1"/>
    <col min="5896" max="5896" width="16.421875" style="1" customWidth="1"/>
    <col min="5897" max="5897" width="20.421875" style="1" customWidth="1"/>
    <col min="5898" max="6144" width="12.140625" style="1" customWidth="1"/>
    <col min="6145" max="6145" width="9.140625" style="1" customWidth="1"/>
    <col min="6146" max="6146" width="7.421875" style="1" customWidth="1"/>
    <col min="6147" max="6147" width="22.28125" style="1" customWidth="1"/>
    <col min="6148" max="6148" width="2.8515625" style="1" customWidth="1"/>
    <col min="6149" max="6149" width="11.00390625" style="1" customWidth="1"/>
    <col min="6150" max="6150" width="27.140625" style="1" customWidth="1"/>
    <col min="6151" max="6151" width="7.421875" style="1" customWidth="1"/>
    <col min="6152" max="6152" width="16.421875" style="1" customWidth="1"/>
    <col min="6153" max="6153" width="20.421875" style="1" customWidth="1"/>
    <col min="6154" max="6400" width="12.140625" style="1" customWidth="1"/>
    <col min="6401" max="6401" width="9.140625" style="1" customWidth="1"/>
    <col min="6402" max="6402" width="7.421875" style="1" customWidth="1"/>
    <col min="6403" max="6403" width="22.28125" style="1" customWidth="1"/>
    <col min="6404" max="6404" width="2.8515625" style="1" customWidth="1"/>
    <col min="6405" max="6405" width="11.00390625" style="1" customWidth="1"/>
    <col min="6406" max="6406" width="27.140625" style="1" customWidth="1"/>
    <col min="6407" max="6407" width="7.421875" style="1" customWidth="1"/>
    <col min="6408" max="6408" width="16.421875" style="1" customWidth="1"/>
    <col min="6409" max="6409" width="20.421875" style="1" customWidth="1"/>
    <col min="6410" max="6656" width="12.140625" style="1" customWidth="1"/>
    <col min="6657" max="6657" width="9.140625" style="1" customWidth="1"/>
    <col min="6658" max="6658" width="7.421875" style="1" customWidth="1"/>
    <col min="6659" max="6659" width="22.28125" style="1" customWidth="1"/>
    <col min="6660" max="6660" width="2.8515625" style="1" customWidth="1"/>
    <col min="6661" max="6661" width="11.00390625" style="1" customWidth="1"/>
    <col min="6662" max="6662" width="27.140625" style="1" customWidth="1"/>
    <col min="6663" max="6663" width="7.421875" style="1" customWidth="1"/>
    <col min="6664" max="6664" width="16.421875" style="1" customWidth="1"/>
    <col min="6665" max="6665" width="20.421875" style="1" customWidth="1"/>
    <col min="6666" max="6912" width="12.140625" style="1" customWidth="1"/>
    <col min="6913" max="6913" width="9.140625" style="1" customWidth="1"/>
    <col min="6914" max="6914" width="7.421875" style="1" customWidth="1"/>
    <col min="6915" max="6915" width="22.28125" style="1" customWidth="1"/>
    <col min="6916" max="6916" width="2.8515625" style="1" customWidth="1"/>
    <col min="6917" max="6917" width="11.00390625" style="1" customWidth="1"/>
    <col min="6918" max="6918" width="27.140625" style="1" customWidth="1"/>
    <col min="6919" max="6919" width="7.421875" style="1" customWidth="1"/>
    <col min="6920" max="6920" width="16.421875" style="1" customWidth="1"/>
    <col min="6921" max="6921" width="20.421875" style="1" customWidth="1"/>
    <col min="6922" max="7168" width="12.140625" style="1" customWidth="1"/>
    <col min="7169" max="7169" width="9.140625" style="1" customWidth="1"/>
    <col min="7170" max="7170" width="7.421875" style="1" customWidth="1"/>
    <col min="7171" max="7171" width="22.28125" style="1" customWidth="1"/>
    <col min="7172" max="7172" width="2.8515625" style="1" customWidth="1"/>
    <col min="7173" max="7173" width="11.00390625" style="1" customWidth="1"/>
    <col min="7174" max="7174" width="27.140625" style="1" customWidth="1"/>
    <col min="7175" max="7175" width="7.421875" style="1" customWidth="1"/>
    <col min="7176" max="7176" width="16.421875" style="1" customWidth="1"/>
    <col min="7177" max="7177" width="20.421875" style="1" customWidth="1"/>
    <col min="7178" max="7424" width="12.140625" style="1" customWidth="1"/>
    <col min="7425" max="7425" width="9.140625" style="1" customWidth="1"/>
    <col min="7426" max="7426" width="7.421875" style="1" customWidth="1"/>
    <col min="7427" max="7427" width="22.28125" style="1" customWidth="1"/>
    <col min="7428" max="7428" width="2.8515625" style="1" customWidth="1"/>
    <col min="7429" max="7429" width="11.00390625" style="1" customWidth="1"/>
    <col min="7430" max="7430" width="27.140625" style="1" customWidth="1"/>
    <col min="7431" max="7431" width="7.421875" style="1" customWidth="1"/>
    <col min="7432" max="7432" width="16.421875" style="1" customWidth="1"/>
    <col min="7433" max="7433" width="20.421875" style="1" customWidth="1"/>
    <col min="7434" max="7680" width="12.140625" style="1" customWidth="1"/>
    <col min="7681" max="7681" width="9.140625" style="1" customWidth="1"/>
    <col min="7682" max="7682" width="7.421875" style="1" customWidth="1"/>
    <col min="7683" max="7683" width="22.28125" style="1" customWidth="1"/>
    <col min="7684" max="7684" width="2.8515625" style="1" customWidth="1"/>
    <col min="7685" max="7685" width="11.00390625" style="1" customWidth="1"/>
    <col min="7686" max="7686" width="27.140625" style="1" customWidth="1"/>
    <col min="7687" max="7687" width="7.421875" style="1" customWidth="1"/>
    <col min="7688" max="7688" width="16.421875" style="1" customWidth="1"/>
    <col min="7689" max="7689" width="20.421875" style="1" customWidth="1"/>
    <col min="7690" max="7936" width="12.140625" style="1" customWidth="1"/>
    <col min="7937" max="7937" width="9.140625" style="1" customWidth="1"/>
    <col min="7938" max="7938" width="7.421875" style="1" customWidth="1"/>
    <col min="7939" max="7939" width="22.28125" style="1" customWidth="1"/>
    <col min="7940" max="7940" width="2.8515625" style="1" customWidth="1"/>
    <col min="7941" max="7941" width="11.00390625" style="1" customWidth="1"/>
    <col min="7942" max="7942" width="27.140625" style="1" customWidth="1"/>
    <col min="7943" max="7943" width="7.421875" style="1" customWidth="1"/>
    <col min="7944" max="7944" width="16.421875" style="1" customWidth="1"/>
    <col min="7945" max="7945" width="20.421875" style="1" customWidth="1"/>
    <col min="7946" max="8192" width="12.140625" style="1" customWidth="1"/>
    <col min="8193" max="8193" width="9.140625" style="1" customWidth="1"/>
    <col min="8194" max="8194" width="7.421875" style="1" customWidth="1"/>
    <col min="8195" max="8195" width="22.28125" style="1" customWidth="1"/>
    <col min="8196" max="8196" width="2.8515625" style="1" customWidth="1"/>
    <col min="8197" max="8197" width="11.00390625" style="1" customWidth="1"/>
    <col min="8198" max="8198" width="27.140625" style="1" customWidth="1"/>
    <col min="8199" max="8199" width="7.421875" style="1" customWidth="1"/>
    <col min="8200" max="8200" width="16.421875" style="1" customWidth="1"/>
    <col min="8201" max="8201" width="20.421875" style="1" customWidth="1"/>
    <col min="8202" max="8448" width="12.140625" style="1" customWidth="1"/>
    <col min="8449" max="8449" width="9.140625" style="1" customWidth="1"/>
    <col min="8450" max="8450" width="7.421875" style="1" customWidth="1"/>
    <col min="8451" max="8451" width="22.28125" style="1" customWidth="1"/>
    <col min="8452" max="8452" width="2.8515625" style="1" customWidth="1"/>
    <col min="8453" max="8453" width="11.00390625" style="1" customWidth="1"/>
    <col min="8454" max="8454" width="27.140625" style="1" customWidth="1"/>
    <col min="8455" max="8455" width="7.421875" style="1" customWidth="1"/>
    <col min="8456" max="8456" width="16.421875" style="1" customWidth="1"/>
    <col min="8457" max="8457" width="20.421875" style="1" customWidth="1"/>
    <col min="8458" max="8704" width="12.140625" style="1" customWidth="1"/>
    <col min="8705" max="8705" width="9.140625" style="1" customWidth="1"/>
    <col min="8706" max="8706" width="7.421875" style="1" customWidth="1"/>
    <col min="8707" max="8707" width="22.28125" style="1" customWidth="1"/>
    <col min="8708" max="8708" width="2.8515625" style="1" customWidth="1"/>
    <col min="8709" max="8709" width="11.00390625" style="1" customWidth="1"/>
    <col min="8710" max="8710" width="27.140625" style="1" customWidth="1"/>
    <col min="8711" max="8711" width="7.421875" style="1" customWidth="1"/>
    <col min="8712" max="8712" width="16.421875" style="1" customWidth="1"/>
    <col min="8713" max="8713" width="20.421875" style="1" customWidth="1"/>
    <col min="8714" max="8960" width="12.140625" style="1" customWidth="1"/>
    <col min="8961" max="8961" width="9.140625" style="1" customWidth="1"/>
    <col min="8962" max="8962" width="7.421875" style="1" customWidth="1"/>
    <col min="8963" max="8963" width="22.28125" style="1" customWidth="1"/>
    <col min="8964" max="8964" width="2.8515625" style="1" customWidth="1"/>
    <col min="8965" max="8965" width="11.00390625" style="1" customWidth="1"/>
    <col min="8966" max="8966" width="27.140625" style="1" customWidth="1"/>
    <col min="8967" max="8967" width="7.421875" style="1" customWidth="1"/>
    <col min="8968" max="8968" width="16.421875" style="1" customWidth="1"/>
    <col min="8969" max="8969" width="20.421875" style="1" customWidth="1"/>
    <col min="8970" max="9216" width="12.140625" style="1" customWidth="1"/>
    <col min="9217" max="9217" width="9.140625" style="1" customWidth="1"/>
    <col min="9218" max="9218" width="7.421875" style="1" customWidth="1"/>
    <col min="9219" max="9219" width="22.28125" style="1" customWidth="1"/>
    <col min="9220" max="9220" width="2.8515625" style="1" customWidth="1"/>
    <col min="9221" max="9221" width="11.00390625" style="1" customWidth="1"/>
    <col min="9222" max="9222" width="27.140625" style="1" customWidth="1"/>
    <col min="9223" max="9223" width="7.421875" style="1" customWidth="1"/>
    <col min="9224" max="9224" width="16.421875" style="1" customWidth="1"/>
    <col min="9225" max="9225" width="20.421875" style="1" customWidth="1"/>
    <col min="9226" max="9472" width="12.140625" style="1" customWidth="1"/>
    <col min="9473" max="9473" width="9.140625" style="1" customWidth="1"/>
    <col min="9474" max="9474" width="7.421875" style="1" customWidth="1"/>
    <col min="9475" max="9475" width="22.28125" style="1" customWidth="1"/>
    <col min="9476" max="9476" width="2.8515625" style="1" customWidth="1"/>
    <col min="9477" max="9477" width="11.00390625" style="1" customWidth="1"/>
    <col min="9478" max="9478" width="27.140625" style="1" customWidth="1"/>
    <col min="9479" max="9479" width="7.421875" style="1" customWidth="1"/>
    <col min="9480" max="9480" width="16.421875" style="1" customWidth="1"/>
    <col min="9481" max="9481" width="20.421875" style="1" customWidth="1"/>
    <col min="9482" max="9728" width="12.140625" style="1" customWidth="1"/>
    <col min="9729" max="9729" width="9.140625" style="1" customWidth="1"/>
    <col min="9730" max="9730" width="7.421875" style="1" customWidth="1"/>
    <col min="9731" max="9731" width="22.28125" style="1" customWidth="1"/>
    <col min="9732" max="9732" width="2.8515625" style="1" customWidth="1"/>
    <col min="9733" max="9733" width="11.00390625" style="1" customWidth="1"/>
    <col min="9734" max="9734" width="27.140625" style="1" customWidth="1"/>
    <col min="9735" max="9735" width="7.421875" style="1" customWidth="1"/>
    <col min="9736" max="9736" width="16.421875" style="1" customWidth="1"/>
    <col min="9737" max="9737" width="20.421875" style="1" customWidth="1"/>
    <col min="9738" max="9984" width="12.140625" style="1" customWidth="1"/>
    <col min="9985" max="9985" width="9.140625" style="1" customWidth="1"/>
    <col min="9986" max="9986" width="7.421875" style="1" customWidth="1"/>
    <col min="9987" max="9987" width="22.28125" style="1" customWidth="1"/>
    <col min="9988" max="9988" width="2.8515625" style="1" customWidth="1"/>
    <col min="9989" max="9989" width="11.00390625" style="1" customWidth="1"/>
    <col min="9990" max="9990" width="27.140625" style="1" customWidth="1"/>
    <col min="9991" max="9991" width="7.421875" style="1" customWidth="1"/>
    <col min="9992" max="9992" width="16.421875" style="1" customWidth="1"/>
    <col min="9993" max="9993" width="20.421875" style="1" customWidth="1"/>
    <col min="9994" max="10240" width="12.140625" style="1" customWidth="1"/>
    <col min="10241" max="10241" width="9.140625" style="1" customWidth="1"/>
    <col min="10242" max="10242" width="7.421875" style="1" customWidth="1"/>
    <col min="10243" max="10243" width="22.28125" style="1" customWidth="1"/>
    <col min="10244" max="10244" width="2.8515625" style="1" customWidth="1"/>
    <col min="10245" max="10245" width="11.00390625" style="1" customWidth="1"/>
    <col min="10246" max="10246" width="27.140625" style="1" customWidth="1"/>
    <col min="10247" max="10247" width="7.421875" style="1" customWidth="1"/>
    <col min="10248" max="10248" width="16.421875" style="1" customWidth="1"/>
    <col min="10249" max="10249" width="20.421875" style="1" customWidth="1"/>
    <col min="10250" max="10496" width="12.140625" style="1" customWidth="1"/>
    <col min="10497" max="10497" width="9.140625" style="1" customWidth="1"/>
    <col min="10498" max="10498" width="7.421875" style="1" customWidth="1"/>
    <col min="10499" max="10499" width="22.28125" style="1" customWidth="1"/>
    <col min="10500" max="10500" width="2.8515625" style="1" customWidth="1"/>
    <col min="10501" max="10501" width="11.00390625" style="1" customWidth="1"/>
    <col min="10502" max="10502" width="27.140625" style="1" customWidth="1"/>
    <col min="10503" max="10503" width="7.421875" style="1" customWidth="1"/>
    <col min="10504" max="10504" width="16.421875" style="1" customWidth="1"/>
    <col min="10505" max="10505" width="20.421875" style="1" customWidth="1"/>
    <col min="10506" max="10752" width="12.140625" style="1" customWidth="1"/>
    <col min="10753" max="10753" width="9.140625" style="1" customWidth="1"/>
    <col min="10754" max="10754" width="7.421875" style="1" customWidth="1"/>
    <col min="10755" max="10755" width="22.28125" style="1" customWidth="1"/>
    <col min="10756" max="10756" width="2.8515625" style="1" customWidth="1"/>
    <col min="10757" max="10757" width="11.00390625" style="1" customWidth="1"/>
    <col min="10758" max="10758" width="27.140625" style="1" customWidth="1"/>
    <col min="10759" max="10759" width="7.421875" style="1" customWidth="1"/>
    <col min="10760" max="10760" width="16.421875" style="1" customWidth="1"/>
    <col min="10761" max="10761" width="20.421875" style="1" customWidth="1"/>
    <col min="10762" max="11008" width="12.140625" style="1" customWidth="1"/>
    <col min="11009" max="11009" width="9.140625" style="1" customWidth="1"/>
    <col min="11010" max="11010" width="7.421875" style="1" customWidth="1"/>
    <col min="11011" max="11011" width="22.28125" style="1" customWidth="1"/>
    <col min="11012" max="11012" width="2.8515625" style="1" customWidth="1"/>
    <col min="11013" max="11013" width="11.00390625" style="1" customWidth="1"/>
    <col min="11014" max="11014" width="27.140625" style="1" customWidth="1"/>
    <col min="11015" max="11015" width="7.421875" style="1" customWidth="1"/>
    <col min="11016" max="11016" width="16.421875" style="1" customWidth="1"/>
    <col min="11017" max="11017" width="20.421875" style="1" customWidth="1"/>
    <col min="11018" max="11264" width="12.140625" style="1" customWidth="1"/>
    <col min="11265" max="11265" width="9.140625" style="1" customWidth="1"/>
    <col min="11266" max="11266" width="7.421875" style="1" customWidth="1"/>
    <col min="11267" max="11267" width="22.28125" style="1" customWidth="1"/>
    <col min="11268" max="11268" width="2.8515625" style="1" customWidth="1"/>
    <col min="11269" max="11269" width="11.00390625" style="1" customWidth="1"/>
    <col min="11270" max="11270" width="27.140625" style="1" customWidth="1"/>
    <col min="11271" max="11271" width="7.421875" style="1" customWidth="1"/>
    <col min="11272" max="11272" width="16.421875" style="1" customWidth="1"/>
    <col min="11273" max="11273" width="20.421875" style="1" customWidth="1"/>
    <col min="11274" max="11520" width="12.140625" style="1" customWidth="1"/>
    <col min="11521" max="11521" width="9.140625" style="1" customWidth="1"/>
    <col min="11522" max="11522" width="7.421875" style="1" customWidth="1"/>
    <col min="11523" max="11523" width="22.28125" style="1" customWidth="1"/>
    <col min="11524" max="11524" width="2.8515625" style="1" customWidth="1"/>
    <col min="11525" max="11525" width="11.00390625" style="1" customWidth="1"/>
    <col min="11526" max="11526" width="27.140625" style="1" customWidth="1"/>
    <col min="11527" max="11527" width="7.421875" style="1" customWidth="1"/>
    <col min="11528" max="11528" width="16.421875" style="1" customWidth="1"/>
    <col min="11529" max="11529" width="20.421875" style="1" customWidth="1"/>
    <col min="11530" max="11776" width="12.140625" style="1" customWidth="1"/>
    <col min="11777" max="11777" width="9.140625" style="1" customWidth="1"/>
    <col min="11778" max="11778" width="7.421875" style="1" customWidth="1"/>
    <col min="11779" max="11779" width="22.28125" style="1" customWidth="1"/>
    <col min="11780" max="11780" width="2.8515625" style="1" customWidth="1"/>
    <col min="11781" max="11781" width="11.00390625" style="1" customWidth="1"/>
    <col min="11782" max="11782" width="27.140625" style="1" customWidth="1"/>
    <col min="11783" max="11783" width="7.421875" style="1" customWidth="1"/>
    <col min="11784" max="11784" width="16.421875" style="1" customWidth="1"/>
    <col min="11785" max="11785" width="20.421875" style="1" customWidth="1"/>
    <col min="11786" max="12032" width="12.140625" style="1" customWidth="1"/>
    <col min="12033" max="12033" width="9.140625" style="1" customWidth="1"/>
    <col min="12034" max="12034" width="7.421875" style="1" customWidth="1"/>
    <col min="12035" max="12035" width="22.28125" style="1" customWidth="1"/>
    <col min="12036" max="12036" width="2.8515625" style="1" customWidth="1"/>
    <col min="12037" max="12037" width="11.00390625" style="1" customWidth="1"/>
    <col min="12038" max="12038" width="27.140625" style="1" customWidth="1"/>
    <col min="12039" max="12039" width="7.421875" style="1" customWidth="1"/>
    <col min="12040" max="12040" width="16.421875" style="1" customWidth="1"/>
    <col min="12041" max="12041" width="20.421875" style="1" customWidth="1"/>
    <col min="12042" max="12288" width="12.140625" style="1" customWidth="1"/>
    <col min="12289" max="12289" width="9.140625" style="1" customWidth="1"/>
    <col min="12290" max="12290" width="7.421875" style="1" customWidth="1"/>
    <col min="12291" max="12291" width="22.28125" style="1" customWidth="1"/>
    <col min="12292" max="12292" width="2.8515625" style="1" customWidth="1"/>
    <col min="12293" max="12293" width="11.00390625" style="1" customWidth="1"/>
    <col min="12294" max="12294" width="27.140625" style="1" customWidth="1"/>
    <col min="12295" max="12295" width="7.421875" style="1" customWidth="1"/>
    <col min="12296" max="12296" width="16.421875" style="1" customWidth="1"/>
    <col min="12297" max="12297" width="20.421875" style="1" customWidth="1"/>
    <col min="12298" max="12544" width="12.140625" style="1" customWidth="1"/>
    <col min="12545" max="12545" width="9.140625" style="1" customWidth="1"/>
    <col min="12546" max="12546" width="7.421875" style="1" customWidth="1"/>
    <col min="12547" max="12547" width="22.28125" style="1" customWidth="1"/>
    <col min="12548" max="12548" width="2.8515625" style="1" customWidth="1"/>
    <col min="12549" max="12549" width="11.00390625" style="1" customWidth="1"/>
    <col min="12550" max="12550" width="27.140625" style="1" customWidth="1"/>
    <col min="12551" max="12551" width="7.421875" style="1" customWidth="1"/>
    <col min="12552" max="12552" width="16.421875" style="1" customWidth="1"/>
    <col min="12553" max="12553" width="20.421875" style="1" customWidth="1"/>
    <col min="12554" max="12800" width="12.140625" style="1" customWidth="1"/>
    <col min="12801" max="12801" width="9.140625" style="1" customWidth="1"/>
    <col min="12802" max="12802" width="7.421875" style="1" customWidth="1"/>
    <col min="12803" max="12803" width="22.28125" style="1" customWidth="1"/>
    <col min="12804" max="12804" width="2.8515625" style="1" customWidth="1"/>
    <col min="12805" max="12805" width="11.00390625" style="1" customWidth="1"/>
    <col min="12806" max="12806" width="27.140625" style="1" customWidth="1"/>
    <col min="12807" max="12807" width="7.421875" style="1" customWidth="1"/>
    <col min="12808" max="12808" width="16.421875" style="1" customWidth="1"/>
    <col min="12809" max="12809" width="20.421875" style="1" customWidth="1"/>
    <col min="12810" max="13056" width="12.140625" style="1" customWidth="1"/>
    <col min="13057" max="13057" width="9.140625" style="1" customWidth="1"/>
    <col min="13058" max="13058" width="7.421875" style="1" customWidth="1"/>
    <col min="13059" max="13059" width="22.28125" style="1" customWidth="1"/>
    <col min="13060" max="13060" width="2.8515625" style="1" customWidth="1"/>
    <col min="13061" max="13061" width="11.00390625" style="1" customWidth="1"/>
    <col min="13062" max="13062" width="27.140625" style="1" customWidth="1"/>
    <col min="13063" max="13063" width="7.421875" style="1" customWidth="1"/>
    <col min="13064" max="13064" width="16.421875" style="1" customWidth="1"/>
    <col min="13065" max="13065" width="20.421875" style="1" customWidth="1"/>
    <col min="13066" max="13312" width="12.140625" style="1" customWidth="1"/>
    <col min="13313" max="13313" width="9.140625" style="1" customWidth="1"/>
    <col min="13314" max="13314" width="7.421875" style="1" customWidth="1"/>
    <col min="13315" max="13315" width="22.28125" style="1" customWidth="1"/>
    <col min="13316" max="13316" width="2.8515625" style="1" customWidth="1"/>
    <col min="13317" max="13317" width="11.00390625" style="1" customWidth="1"/>
    <col min="13318" max="13318" width="27.140625" style="1" customWidth="1"/>
    <col min="13319" max="13319" width="7.421875" style="1" customWidth="1"/>
    <col min="13320" max="13320" width="16.421875" style="1" customWidth="1"/>
    <col min="13321" max="13321" width="20.421875" style="1" customWidth="1"/>
    <col min="13322" max="13568" width="12.140625" style="1" customWidth="1"/>
    <col min="13569" max="13569" width="9.140625" style="1" customWidth="1"/>
    <col min="13570" max="13570" width="7.421875" style="1" customWidth="1"/>
    <col min="13571" max="13571" width="22.28125" style="1" customWidth="1"/>
    <col min="13572" max="13572" width="2.8515625" style="1" customWidth="1"/>
    <col min="13573" max="13573" width="11.00390625" style="1" customWidth="1"/>
    <col min="13574" max="13574" width="27.140625" style="1" customWidth="1"/>
    <col min="13575" max="13575" width="7.421875" style="1" customWidth="1"/>
    <col min="13576" max="13576" width="16.421875" style="1" customWidth="1"/>
    <col min="13577" max="13577" width="20.421875" style="1" customWidth="1"/>
    <col min="13578" max="13824" width="12.140625" style="1" customWidth="1"/>
    <col min="13825" max="13825" width="9.140625" style="1" customWidth="1"/>
    <col min="13826" max="13826" width="7.421875" style="1" customWidth="1"/>
    <col min="13827" max="13827" width="22.28125" style="1" customWidth="1"/>
    <col min="13828" max="13828" width="2.8515625" style="1" customWidth="1"/>
    <col min="13829" max="13829" width="11.00390625" style="1" customWidth="1"/>
    <col min="13830" max="13830" width="27.140625" style="1" customWidth="1"/>
    <col min="13831" max="13831" width="7.421875" style="1" customWidth="1"/>
    <col min="13832" max="13832" width="16.421875" style="1" customWidth="1"/>
    <col min="13833" max="13833" width="20.421875" style="1" customWidth="1"/>
    <col min="13834" max="14080" width="12.140625" style="1" customWidth="1"/>
    <col min="14081" max="14081" width="9.140625" style="1" customWidth="1"/>
    <col min="14082" max="14082" width="7.421875" style="1" customWidth="1"/>
    <col min="14083" max="14083" width="22.28125" style="1" customWidth="1"/>
    <col min="14084" max="14084" width="2.8515625" style="1" customWidth="1"/>
    <col min="14085" max="14085" width="11.00390625" style="1" customWidth="1"/>
    <col min="14086" max="14086" width="27.140625" style="1" customWidth="1"/>
    <col min="14087" max="14087" width="7.421875" style="1" customWidth="1"/>
    <col min="14088" max="14088" width="16.421875" style="1" customWidth="1"/>
    <col min="14089" max="14089" width="20.421875" style="1" customWidth="1"/>
    <col min="14090" max="14336" width="12.140625" style="1" customWidth="1"/>
    <col min="14337" max="14337" width="9.140625" style="1" customWidth="1"/>
    <col min="14338" max="14338" width="7.421875" style="1" customWidth="1"/>
    <col min="14339" max="14339" width="22.28125" style="1" customWidth="1"/>
    <col min="14340" max="14340" width="2.8515625" style="1" customWidth="1"/>
    <col min="14341" max="14341" width="11.00390625" style="1" customWidth="1"/>
    <col min="14342" max="14342" width="27.140625" style="1" customWidth="1"/>
    <col min="14343" max="14343" width="7.421875" style="1" customWidth="1"/>
    <col min="14344" max="14344" width="16.421875" style="1" customWidth="1"/>
    <col min="14345" max="14345" width="20.421875" style="1" customWidth="1"/>
    <col min="14346" max="14592" width="12.140625" style="1" customWidth="1"/>
    <col min="14593" max="14593" width="9.140625" style="1" customWidth="1"/>
    <col min="14594" max="14594" width="7.421875" style="1" customWidth="1"/>
    <col min="14595" max="14595" width="22.28125" style="1" customWidth="1"/>
    <col min="14596" max="14596" width="2.8515625" style="1" customWidth="1"/>
    <col min="14597" max="14597" width="11.00390625" style="1" customWidth="1"/>
    <col min="14598" max="14598" width="27.140625" style="1" customWidth="1"/>
    <col min="14599" max="14599" width="7.421875" style="1" customWidth="1"/>
    <col min="14600" max="14600" width="16.421875" style="1" customWidth="1"/>
    <col min="14601" max="14601" width="20.421875" style="1" customWidth="1"/>
    <col min="14602" max="14848" width="12.140625" style="1" customWidth="1"/>
    <col min="14849" max="14849" width="9.140625" style="1" customWidth="1"/>
    <col min="14850" max="14850" width="7.421875" style="1" customWidth="1"/>
    <col min="14851" max="14851" width="22.28125" style="1" customWidth="1"/>
    <col min="14852" max="14852" width="2.8515625" style="1" customWidth="1"/>
    <col min="14853" max="14853" width="11.00390625" style="1" customWidth="1"/>
    <col min="14854" max="14854" width="27.140625" style="1" customWidth="1"/>
    <col min="14855" max="14855" width="7.421875" style="1" customWidth="1"/>
    <col min="14856" max="14856" width="16.421875" style="1" customWidth="1"/>
    <col min="14857" max="14857" width="20.421875" style="1" customWidth="1"/>
    <col min="14858" max="15104" width="12.140625" style="1" customWidth="1"/>
    <col min="15105" max="15105" width="9.140625" style="1" customWidth="1"/>
    <col min="15106" max="15106" width="7.421875" style="1" customWidth="1"/>
    <col min="15107" max="15107" width="22.28125" style="1" customWidth="1"/>
    <col min="15108" max="15108" width="2.8515625" style="1" customWidth="1"/>
    <col min="15109" max="15109" width="11.00390625" style="1" customWidth="1"/>
    <col min="15110" max="15110" width="27.140625" style="1" customWidth="1"/>
    <col min="15111" max="15111" width="7.421875" style="1" customWidth="1"/>
    <col min="15112" max="15112" width="16.421875" style="1" customWidth="1"/>
    <col min="15113" max="15113" width="20.421875" style="1" customWidth="1"/>
    <col min="15114" max="15360" width="12.140625" style="1" customWidth="1"/>
    <col min="15361" max="15361" width="9.140625" style="1" customWidth="1"/>
    <col min="15362" max="15362" width="7.421875" style="1" customWidth="1"/>
    <col min="15363" max="15363" width="22.28125" style="1" customWidth="1"/>
    <col min="15364" max="15364" width="2.8515625" style="1" customWidth="1"/>
    <col min="15365" max="15365" width="11.00390625" style="1" customWidth="1"/>
    <col min="15366" max="15366" width="27.140625" style="1" customWidth="1"/>
    <col min="15367" max="15367" width="7.421875" style="1" customWidth="1"/>
    <col min="15368" max="15368" width="16.421875" style="1" customWidth="1"/>
    <col min="15369" max="15369" width="20.421875" style="1" customWidth="1"/>
    <col min="15370" max="15616" width="12.140625" style="1" customWidth="1"/>
    <col min="15617" max="15617" width="9.140625" style="1" customWidth="1"/>
    <col min="15618" max="15618" width="7.421875" style="1" customWidth="1"/>
    <col min="15619" max="15619" width="22.28125" style="1" customWidth="1"/>
    <col min="15620" max="15620" width="2.8515625" style="1" customWidth="1"/>
    <col min="15621" max="15621" width="11.00390625" style="1" customWidth="1"/>
    <col min="15622" max="15622" width="27.140625" style="1" customWidth="1"/>
    <col min="15623" max="15623" width="7.421875" style="1" customWidth="1"/>
    <col min="15624" max="15624" width="16.421875" style="1" customWidth="1"/>
    <col min="15625" max="15625" width="20.421875" style="1" customWidth="1"/>
    <col min="15626" max="15872" width="12.140625" style="1" customWidth="1"/>
    <col min="15873" max="15873" width="9.140625" style="1" customWidth="1"/>
    <col min="15874" max="15874" width="7.421875" style="1" customWidth="1"/>
    <col min="15875" max="15875" width="22.28125" style="1" customWidth="1"/>
    <col min="15876" max="15876" width="2.8515625" style="1" customWidth="1"/>
    <col min="15877" max="15877" width="11.00390625" style="1" customWidth="1"/>
    <col min="15878" max="15878" width="27.140625" style="1" customWidth="1"/>
    <col min="15879" max="15879" width="7.421875" style="1" customWidth="1"/>
    <col min="15880" max="15880" width="16.421875" style="1" customWidth="1"/>
    <col min="15881" max="15881" width="20.421875" style="1" customWidth="1"/>
    <col min="15882" max="16128" width="12.140625" style="1" customWidth="1"/>
    <col min="16129" max="16129" width="9.140625" style="1" customWidth="1"/>
    <col min="16130" max="16130" width="7.421875" style="1" customWidth="1"/>
    <col min="16131" max="16131" width="22.28125" style="1" customWidth="1"/>
    <col min="16132" max="16132" width="2.8515625" style="1" customWidth="1"/>
    <col min="16133" max="16133" width="11.00390625" style="1" customWidth="1"/>
    <col min="16134" max="16134" width="27.140625" style="1" customWidth="1"/>
    <col min="16135" max="16135" width="7.421875" style="1" customWidth="1"/>
    <col min="16136" max="16136" width="16.421875" style="1" customWidth="1"/>
    <col min="16137" max="16137" width="20.421875" style="1" customWidth="1"/>
    <col min="16138" max="16384" width="12.140625" style="1" customWidth="1"/>
  </cols>
  <sheetData>
    <row r="1" spans="1:9" ht="23.25">
      <c r="A1" s="135" t="s">
        <v>1301</v>
      </c>
      <c r="B1" s="136"/>
      <c r="C1" s="136"/>
      <c r="D1" s="136"/>
      <c r="E1" s="136"/>
      <c r="F1" s="136"/>
      <c r="G1" s="136"/>
      <c r="H1" s="136"/>
      <c r="I1" s="136"/>
    </row>
    <row r="2" spans="1:9" ht="15" customHeight="1">
      <c r="A2" s="137" t="s">
        <v>0</v>
      </c>
      <c r="B2" s="138"/>
      <c r="C2" s="139" t="str">
        <f>'[2]Stavební rozpočet'!C2</f>
        <v>Revitalizace lokality Martinské náměstí, Třebíč</v>
      </c>
      <c r="D2" s="140"/>
      <c r="E2" s="142" t="s">
        <v>4</v>
      </c>
      <c r="F2" s="142" t="str">
        <f>'[2]Stavební rozpočet'!I2</f>
        <v>město Třebíč, Karlovo náměstí 104/55, 674 01 Třebíč</v>
      </c>
      <c r="G2" s="138"/>
      <c r="H2" s="142" t="s">
        <v>1258</v>
      </c>
      <c r="I2" s="143" t="s">
        <v>1259</v>
      </c>
    </row>
    <row r="3" spans="1:9" ht="15" customHeight="1">
      <c r="A3" s="134"/>
      <c r="B3" s="115"/>
      <c r="C3" s="141"/>
      <c r="D3" s="141"/>
      <c r="E3" s="115"/>
      <c r="F3" s="115"/>
      <c r="G3" s="115"/>
      <c r="H3" s="115"/>
      <c r="I3" s="133"/>
    </row>
    <row r="4" spans="1:9" ht="15" customHeight="1">
      <c r="A4" s="129" t="s">
        <v>6</v>
      </c>
      <c r="B4" s="115"/>
      <c r="C4" s="114" t="s">
        <v>1260</v>
      </c>
      <c r="D4" s="115"/>
      <c r="E4" s="114" t="s">
        <v>9</v>
      </c>
      <c r="F4" s="114" t="str">
        <f>'[2]Stavební rozpočet'!I4</f>
        <v>MATULA projekt s.r.o., Jana Babáka 11, 612 00 Brno</v>
      </c>
      <c r="G4" s="115"/>
      <c r="H4" s="114" t="s">
        <v>1258</v>
      </c>
      <c r="I4" s="133" t="s">
        <v>1261</v>
      </c>
    </row>
    <row r="5" spans="1:9" ht="15" customHeight="1">
      <c r="A5" s="134"/>
      <c r="B5" s="115"/>
      <c r="C5" s="115"/>
      <c r="D5" s="115"/>
      <c r="E5" s="115"/>
      <c r="F5" s="115"/>
      <c r="G5" s="115"/>
      <c r="H5" s="115"/>
      <c r="I5" s="133"/>
    </row>
    <row r="6" spans="1:9" ht="15" customHeight="1">
      <c r="A6" s="129" t="s">
        <v>11</v>
      </c>
      <c r="B6" s="115"/>
      <c r="C6" s="114" t="str">
        <f>'[2]Stavební rozpočet'!C6</f>
        <v>Třebíč, Vysočina</v>
      </c>
      <c r="D6" s="115"/>
      <c r="E6" s="114" t="s">
        <v>14</v>
      </c>
      <c r="F6" s="114" t="str">
        <f>'[2]Stavební rozpočet'!I6</f>
        <v> </v>
      </c>
      <c r="G6" s="115"/>
      <c r="H6" s="114" t="s">
        <v>1258</v>
      </c>
      <c r="I6" s="133" t="s">
        <v>49</v>
      </c>
    </row>
    <row r="7" spans="1:9" ht="15" customHeight="1">
      <c r="A7" s="134"/>
      <c r="B7" s="115"/>
      <c r="C7" s="115"/>
      <c r="D7" s="115"/>
      <c r="E7" s="115"/>
      <c r="F7" s="115"/>
      <c r="G7" s="115"/>
      <c r="H7" s="115"/>
      <c r="I7" s="133"/>
    </row>
    <row r="8" spans="1:9" ht="15" customHeight="1">
      <c r="A8" s="129" t="s">
        <v>8</v>
      </c>
      <c r="B8" s="115"/>
      <c r="C8" s="114"/>
      <c r="D8" s="115"/>
      <c r="E8" s="114" t="s">
        <v>13</v>
      </c>
      <c r="F8" s="114" t="str">
        <f>'[2]Stavební rozpočet'!G6</f>
        <v xml:space="preserve"> </v>
      </c>
      <c r="G8" s="115"/>
      <c r="H8" s="115" t="s">
        <v>1262</v>
      </c>
      <c r="I8" s="132"/>
    </row>
    <row r="9" spans="1:9" ht="15" customHeight="1">
      <c r="A9" s="134"/>
      <c r="B9" s="115"/>
      <c r="C9" s="115"/>
      <c r="D9" s="115"/>
      <c r="E9" s="115"/>
      <c r="F9" s="115"/>
      <c r="G9" s="115"/>
      <c r="H9" s="115"/>
      <c r="I9" s="133"/>
    </row>
    <row r="10" spans="1:9" ht="15" customHeight="1">
      <c r="A10" s="129" t="s">
        <v>16</v>
      </c>
      <c r="B10" s="115"/>
      <c r="C10" s="114" t="str">
        <f>'[2]Stavební rozpočet'!C8</f>
        <v xml:space="preserve"> </v>
      </c>
      <c r="D10" s="115"/>
      <c r="E10" s="114" t="s">
        <v>19</v>
      </c>
      <c r="F10" s="114" t="str">
        <f>'[2]Stavební rozpočet'!I8</f>
        <v>Ing. Radka Matulová</v>
      </c>
      <c r="G10" s="115"/>
      <c r="H10" s="115" t="s">
        <v>1263</v>
      </c>
      <c r="I10" s="119">
        <v>44943</v>
      </c>
    </row>
    <row r="11" spans="1:9" ht="15" customHeight="1">
      <c r="A11" s="130"/>
      <c r="B11" s="131"/>
      <c r="C11" s="131"/>
      <c r="D11" s="131"/>
      <c r="E11" s="131"/>
      <c r="F11" s="131"/>
      <c r="G11" s="131"/>
      <c r="H11" s="131"/>
      <c r="I11" s="120"/>
    </row>
    <row r="12" spans="1:9" ht="23.25">
      <c r="A12" s="124" t="s">
        <v>1264</v>
      </c>
      <c r="B12" s="124"/>
      <c r="C12" s="124"/>
      <c r="D12" s="124"/>
      <c r="E12" s="124"/>
      <c r="F12" s="124"/>
      <c r="G12" s="124"/>
      <c r="H12" s="124"/>
      <c r="I12" s="124"/>
    </row>
    <row r="13" spans="1:9" s="37" customFormat="1" ht="15" customHeight="1">
      <c r="A13" s="33" t="s">
        <v>1265</v>
      </c>
      <c r="B13" s="34"/>
      <c r="C13" s="34"/>
      <c r="D13" s="34"/>
      <c r="E13" s="34"/>
      <c r="F13" s="34"/>
      <c r="G13" s="34"/>
      <c r="H13" s="35"/>
      <c r="I13" s="36"/>
    </row>
    <row r="14" spans="1:9" s="37" customFormat="1" ht="15" customHeight="1">
      <c r="A14" s="38" t="s">
        <v>1266</v>
      </c>
      <c r="H14" s="39"/>
      <c r="I14" s="40">
        <f>SO101!M660</f>
        <v>0</v>
      </c>
    </row>
    <row r="15" spans="1:9" s="37" customFormat="1" ht="15" customHeight="1">
      <c r="A15" s="38" t="s">
        <v>1267</v>
      </c>
      <c r="H15" s="39"/>
      <c r="I15" s="40">
        <f>SO102!M357</f>
        <v>0</v>
      </c>
    </row>
    <row r="16" spans="1:9" s="37" customFormat="1" ht="15" customHeight="1">
      <c r="A16" s="38" t="s">
        <v>1268</v>
      </c>
      <c r="H16" s="39"/>
      <c r="I16" s="40">
        <f>SO401!L14</f>
        <v>0</v>
      </c>
    </row>
    <row r="17" spans="1:9" s="37" customFormat="1" ht="15" customHeight="1">
      <c r="A17" s="38" t="s">
        <v>1269</v>
      </c>
      <c r="H17" s="39"/>
      <c r="I17" s="40">
        <f>SO402!L14</f>
        <v>0</v>
      </c>
    </row>
    <row r="18" spans="1:9" s="37" customFormat="1" ht="15" customHeight="1">
      <c r="A18" s="38" t="s">
        <v>1270</v>
      </c>
      <c r="H18" s="39"/>
      <c r="I18" s="40">
        <f>SO403!L14</f>
        <v>0</v>
      </c>
    </row>
    <row r="19" spans="1:9" s="37" customFormat="1" ht="15" customHeight="1">
      <c r="A19" s="38" t="s">
        <v>1271</v>
      </c>
      <c r="H19" s="39"/>
      <c r="I19" s="40">
        <f>SO404!L14</f>
        <v>0</v>
      </c>
    </row>
    <row r="20" spans="1:9" s="37" customFormat="1" ht="15" customHeight="1">
      <c r="A20" s="38" t="s">
        <v>1272</v>
      </c>
      <c r="H20" s="39"/>
      <c r="I20" s="40">
        <f>SO801!L14</f>
        <v>0</v>
      </c>
    </row>
    <row r="21" spans="1:9" s="37" customFormat="1" ht="15" customHeight="1">
      <c r="A21" s="38" t="s">
        <v>1273</v>
      </c>
      <c r="H21" s="39"/>
      <c r="I21" s="40">
        <f>SO802!L14</f>
        <v>0</v>
      </c>
    </row>
    <row r="22" spans="1:9" s="37" customFormat="1" ht="15" customHeight="1">
      <c r="A22" s="38"/>
      <c r="H22" s="39"/>
      <c r="I22" s="41"/>
    </row>
    <row r="23" spans="1:9" s="37" customFormat="1" ht="15" customHeight="1">
      <c r="A23" s="42" t="s">
        <v>1274</v>
      </c>
      <c r="B23" s="43"/>
      <c r="C23" s="43"/>
      <c r="D23" s="43"/>
      <c r="E23" s="43"/>
      <c r="F23" s="43"/>
      <c r="G23" s="43"/>
      <c r="H23" s="44"/>
      <c r="I23" s="45">
        <f>VORN!M47</f>
        <v>0</v>
      </c>
    </row>
    <row r="24" ht="15" customHeight="1"/>
    <row r="25" spans="1:3" ht="15.75">
      <c r="A25" s="125"/>
      <c r="B25" s="126"/>
      <c r="C25" s="46"/>
    </row>
    <row r="26" spans="1:9" ht="15.75">
      <c r="A26" s="127"/>
      <c r="B26" s="128"/>
      <c r="C26" s="47"/>
      <c r="D26" s="126"/>
      <c r="E26" s="126"/>
      <c r="F26" s="46"/>
      <c r="G26" s="126" t="s">
        <v>1275</v>
      </c>
      <c r="H26" s="126"/>
      <c r="I26" s="46">
        <f>SUM(I14:I23)</f>
        <v>0</v>
      </c>
    </row>
    <row r="27" ht="15" customHeight="1" thickBot="1"/>
    <row r="28" spans="1:9" ht="15" customHeight="1">
      <c r="A28" s="121" t="s">
        <v>1276</v>
      </c>
      <c r="B28" s="122"/>
      <c r="C28" s="123"/>
      <c r="D28" s="122" t="s">
        <v>1277</v>
      </c>
      <c r="E28" s="122"/>
      <c r="F28" s="123"/>
      <c r="G28" s="122" t="s">
        <v>1278</v>
      </c>
      <c r="H28" s="122"/>
      <c r="I28" s="123"/>
    </row>
    <row r="29" spans="1:9" ht="15" customHeight="1">
      <c r="A29" s="116" t="s">
        <v>49</v>
      </c>
      <c r="B29" s="117"/>
      <c r="C29" s="118"/>
      <c r="D29" s="117" t="s">
        <v>49</v>
      </c>
      <c r="E29" s="117"/>
      <c r="F29" s="118"/>
      <c r="G29" s="117" t="s">
        <v>49</v>
      </c>
      <c r="H29" s="117"/>
      <c r="I29" s="118"/>
    </row>
    <row r="30" spans="1:9" ht="15" customHeight="1">
      <c r="A30" s="116" t="s">
        <v>49</v>
      </c>
      <c r="B30" s="117"/>
      <c r="C30" s="118"/>
      <c r="D30" s="117" t="s">
        <v>49</v>
      </c>
      <c r="E30" s="117"/>
      <c r="F30" s="118"/>
      <c r="G30" s="117" t="s">
        <v>49</v>
      </c>
      <c r="H30" s="117"/>
      <c r="I30" s="118"/>
    </row>
    <row r="31" spans="1:9" ht="15" customHeight="1">
      <c r="A31" s="116" t="s">
        <v>49</v>
      </c>
      <c r="B31" s="117"/>
      <c r="C31" s="118"/>
      <c r="D31" s="117" t="s">
        <v>49</v>
      </c>
      <c r="E31" s="117"/>
      <c r="F31" s="118"/>
      <c r="G31" s="117" t="s">
        <v>49</v>
      </c>
      <c r="H31" s="117"/>
      <c r="I31" s="118"/>
    </row>
    <row r="32" spans="1:9" ht="15" customHeight="1" thickBot="1">
      <c r="A32" s="111" t="s">
        <v>1279</v>
      </c>
      <c r="B32" s="112"/>
      <c r="C32" s="113"/>
      <c r="D32" s="112" t="s">
        <v>1279</v>
      </c>
      <c r="E32" s="112"/>
      <c r="F32" s="113"/>
      <c r="G32" s="112" t="s">
        <v>1279</v>
      </c>
      <c r="H32" s="112"/>
      <c r="I32" s="113"/>
    </row>
    <row r="33" ht="15" customHeight="1">
      <c r="A33" s="26" t="s">
        <v>1053</v>
      </c>
    </row>
    <row r="34" spans="1:9" ht="12.75" customHeight="1">
      <c r="A34" s="114" t="s">
        <v>49</v>
      </c>
      <c r="B34" s="115"/>
      <c r="C34" s="115"/>
      <c r="D34" s="115"/>
      <c r="E34" s="115"/>
      <c r="F34" s="115"/>
      <c r="G34" s="115"/>
      <c r="H34" s="115"/>
      <c r="I34" s="115"/>
    </row>
  </sheetData>
  <sheetProtection algorithmName="SHA-512" hashValue="7VFYvqHCBKHOruq/6ECgK+aBcV+JZ0CIOoOq3MOQNDc5/hGnZYWtP5jIUQnsleLq/NqooAJCb6KTQva3ujyMqA==" saltValue="0AhQbWa7BMxfC9KdUhxl9Q==" spinCount="100000" sheet="1" objects="1" scenarios="1"/>
  <mergeCells count="52">
    <mergeCell ref="A1:I1"/>
    <mergeCell ref="A2:B3"/>
    <mergeCell ref="C2:D3"/>
    <mergeCell ref="E2:E3"/>
    <mergeCell ref="F2:G3"/>
    <mergeCell ref="H2:H3"/>
    <mergeCell ref="I2:I3"/>
    <mergeCell ref="I8:I9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A8:B9"/>
    <mergeCell ref="C8:D9"/>
    <mergeCell ref="E8:E9"/>
    <mergeCell ref="F8:G9"/>
    <mergeCell ref="H8:H9"/>
    <mergeCell ref="A10:B11"/>
    <mergeCell ref="C10:D11"/>
    <mergeCell ref="E10:E11"/>
    <mergeCell ref="F10:G11"/>
    <mergeCell ref="H10:H11"/>
    <mergeCell ref="I10:I11"/>
    <mergeCell ref="A28:C28"/>
    <mergeCell ref="D28:F28"/>
    <mergeCell ref="G28:I28"/>
    <mergeCell ref="A29:C29"/>
    <mergeCell ref="D29:F29"/>
    <mergeCell ref="G29:I29"/>
    <mergeCell ref="A12:I12"/>
    <mergeCell ref="A25:B25"/>
    <mergeCell ref="A26:B26"/>
    <mergeCell ref="D26:E26"/>
    <mergeCell ref="G26:H26"/>
    <mergeCell ref="A32:C32"/>
    <mergeCell ref="D32:F32"/>
    <mergeCell ref="G32:I32"/>
    <mergeCell ref="A34:I34"/>
    <mergeCell ref="A30:C30"/>
    <mergeCell ref="D30:F30"/>
    <mergeCell ref="G30:I30"/>
    <mergeCell ref="A31:C31"/>
    <mergeCell ref="D31:F31"/>
    <mergeCell ref="G31:I31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"/>
  <sheetViews>
    <sheetView workbookViewId="0" topLeftCell="A1">
      <selection activeCell="C13" sqref="C13:F13"/>
    </sheetView>
  </sheetViews>
  <sheetFormatPr defaultColWidth="12.140625" defaultRowHeight="15"/>
  <cols>
    <col min="1" max="1" width="4.00390625" style="1" customWidth="1"/>
    <col min="2" max="2" width="14.28125" style="1" customWidth="1"/>
    <col min="3" max="3" width="62.421875" style="1" customWidth="1"/>
    <col min="4" max="4" width="15.8515625" style="1" customWidth="1"/>
    <col min="5" max="5" width="10.8515625" style="1" customWidth="1"/>
    <col min="6" max="6" width="75.57421875" style="1" customWidth="1"/>
    <col min="7" max="7" width="5.8515625" style="1" customWidth="1"/>
    <col min="8" max="8" width="11.28125" style="1" customWidth="1"/>
    <col min="9" max="9" width="12.00390625" style="1" customWidth="1"/>
    <col min="10" max="10" width="10.28125" style="1" customWidth="1"/>
    <col min="11" max="11" width="12.00390625" style="1" customWidth="1"/>
    <col min="12" max="12" width="12.28125" style="1" customWidth="1"/>
    <col min="13" max="13" width="11.7109375" style="1" customWidth="1"/>
    <col min="14" max="24" width="12.140625" style="1" customWidth="1"/>
    <col min="25" max="74" width="12.140625" style="1" hidden="1" customWidth="1"/>
    <col min="75" max="256" width="12.140625" style="1" customWidth="1"/>
    <col min="257" max="257" width="4.00390625" style="1" customWidth="1"/>
    <col min="258" max="258" width="14.28125" style="1" customWidth="1"/>
    <col min="259" max="259" width="62.421875" style="1" customWidth="1"/>
    <col min="260" max="260" width="15.8515625" style="1" customWidth="1"/>
    <col min="261" max="261" width="10.8515625" style="1" customWidth="1"/>
    <col min="262" max="262" width="75.57421875" style="1" customWidth="1"/>
    <col min="263" max="263" width="5.8515625" style="1" customWidth="1"/>
    <col min="264" max="264" width="11.28125" style="1" customWidth="1"/>
    <col min="265" max="265" width="12.00390625" style="1" customWidth="1"/>
    <col min="266" max="266" width="10.28125" style="1" customWidth="1"/>
    <col min="267" max="267" width="12.00390625" style="1" customWidth="1"/>
    <col min="268" max="268" width="12.28125" style="1" customWidth="1"/>
    <col min="269" max="269" width="11.7109375" style="1" customWidth="1"/>
    <col min="270" max="280" width="12.140625" style="1" customWidth="1"/>
    <col min="281" max="330" width="12.140625" style="1" hidden="1" customWidth="1"/>
    <col min="331" max="512" width="12.140625" style="1" customWidth="1"/>
    <col min="513" max="513" width="4.00390625" style="1" customWidth="1"/>
    <col min="514" max="514" width="14.28125" style="1" customWidth="1"/>
    <col min="515" max="515" width="62.421875" style="1" customWidth="1"/>
    <col min="516" max="516" width="15.8515625" style="1" customWidth="1"/>
    <col min="517" max="517" width="10.8515625" style="1" customWidth="1"/>
    <col min="518" max="518" width="75.57421875" style="1" customWidth="1"/>
    <col min="519" max="519" width="5.8515625" style="1" customWidth="1"/>
    <col min="520" max="520" width="11.28125" style="1" customWidth="1"/>
    <col min="521" max="521" width="12.00390625" style="1" customWidth="1"/>
    <col min="522" max="522" width="10.28125" style="1" customWidth="1"/>
    <col min="523" max="523" width="12.00390625" style="1" customWidth="1"/>
    <col min="524" max="524" width="12.28125" style="1" customWidth="1"/>
    <col min="525" max="525" width="11.7109375" style="1" customWidth="1"/>
    <col min="526" max="536" width="12.140625" style="1" customWidth="1"/>
    <col min="537" max="586" width="12.140625" style="1" hidden="1" customWidth="1"/>
    <col min="587" max="768" width="12.140625" style="1" customWidth="1"/>
    <col min="769" max="769" width="4.00390625" style="1" customWidth="1"/>
    <col min="770" max="770" width="14.28125" style="1" customWidth="1"/>
    <col min="771" max="771" width="62.421875" style="1" customWidth="1"/>
    <col min="772" max="772" width="15.8515625" style="1" customWidth="1"/>
    <col min="773" max="773" width="10.8515625" style="1" customWidth="1"/>
    <col min="774" max="774" width="75.57421875" style="1" customWidth="1"/>
    <col min="775" max="775" width="5.8515625" style="1" customWidth="1"/>
    <col min="776" max="776" width="11.28125" style="1" customWidth="1"/>
    <col min="777" max="777" width="12.00390625" style="1" customWidth="1"/>
    <col min="778" max="778" width="10.28125" style="1" customWidth="1"/>
    <col min="779" max="779" width="12.00390625" style="1" customWidth="1"/>
    <col min="780" max="780" width="12.28125" style="1" customWidth="1"/>
    <col min="781" max="781" width="11.7109375" style="1" customWidth="1"/>
    <col min="782" max="792" width="12.140625" style="1" customWidth="1"/>
    <col min="793" max="842" width="12.140625" style="1" hidden="1" customWidth="1"/>
    <col min="843" max="1024" width="12.140625" style="1" customWidth="1"/>
    <col min="1025" max="1025" width="4.00390625" style="1" customWidth="1"/>
    <col min="1026" max="1026" width="14.28125" style="1" customWidth="1"/>
    <col min="1027" max="1027" width="62.421875" style="1" customWidth="1"/>
    <col min="1028" max="1028" width="15.8515625" style="1" customWidth="1"/>
    <col min="1029" max="1029" width="10.8515625" style="1" customWidth="1"/>
    <col min="1030" max="1030" width="75.57421875" style="1" customWidth="1"/>
    <col min="1031" max="1031" width="5.8515625" style="1" customWidth="1"/>
    <col min="1032" max="1032" width="11.28125" style="1" customWidth="1"/>
    <col min="1033" max="1033" width="12.00390625" style="1" customWidth="1"/>
    <col min="1034" max="1034" width="10.28125" style="1" customWidth="1"/>
    <col min="1035" max="1035" width="12.00390625" style="1" customWidth="1"/>
    <col min="1036" max="1036" width="12.28125" style="1" customWidth="1"/>
    <col min="1037" max="1037" width="11.7109375" style="1" customWidth="1"/>
    <col min="1038" max="1048" width="12.140625" style="1" customWidth="1"/>
    <col min="1049" max="1098" width="12.140625" style="1" hidden="1" customWidth="1"/>
    <col min="1099" max="1280" width="12.140625" style="1" customWidth="1"/>
    <col min="1281" max="1281" width="4.00390625" style="1" customWidth="1"/>
    <col min="1282" max="1282" width="14.28125" style="1" customWidth="1"/>
    <col min="1283" max="1283" width="62.421875" style="1" customWidth="1"/>
    <col min="1284" max="1284" width="15.8515625" style="1" customWidth="1"/>
    <col min="1285" max="1285" width="10.8515625" style="1" customWidth="1"/>
    <col min="1286" max="1286" width="75.57421875" style="1" customWidth="1"/>
    <col min="1287" max="1287" width="5.8515625" style="1" customWidth="1"/>
    <col min="1288" max="1288" width="11.28125" style="1" customWidth="1"/>
    <col min="1289" max="1289" width="12.00390625" style="1" customWidth="1"/>
    <col min="1290" max="1290" width="10.28125" style="1" customWidth="1"/>
    <col min="1291" max="1291" width="12.00390625" style="1" customWidth="1"/>
    <col min="1292" max="1292" width="12.28125" style="1" customWidth="1"/>
    <col min="1293" max="1293" width="11.7109375" style="1" customWidth="1"/>
    <col min="1294" max="1304" width="12.140625" style="1" customWidth="1"/>
    <col min="1305" max="1354" width="12.140625" style="1" hidden="1" customWidth="1"/>
    <col min="1355" max="1536" width="12.140625" style="1" customWidth="1"/>
    <col min="1537" max="1537" width="4.00390625" style="1" customWidth="1"/>
    <col min="1538" max="1538" width="14.28125" style="1" customWidth="1"/>
    <col min="1539" max="1539" width="62.421875" style="1" customWidth="1"/>
    <col min="1540" max="1540" width="15.8515625" style="1" customWidth="1"/>
    <col min="1541" max="1541" width="10.8515625" style="1" customWidth="1"/>
    <col min="1542" max="1542" width="75.57421875" style="1" customWidth="1"/>
    <col min="1543" max="1543" width="5.8515625" style="1" customWidth="1"/>
    <col min="1544" max="1544" width="11.28125" style="1" customWidth="1"/>
    <col min="1545" max="1545" width="12.00390625" style="1" customWidth="1"/>
    <col min="1546" max="1546" width="10.28125" style="1" customWidth="1"/>
    <col min="1547" max="1547" width="12.00390625" style="1" customWidth="1"/>
    <col min="1548" max="1548" width="12.28125" style="1" customWidth="1"/>
    <col min="1549" max="1549" width="11.7109375" style="1" customWidth="1"/>
    <col min="1550" max="1560" width="12.140625" style="1" customWidth="1"/>
    <col min="1561" max="1610" width="12.140625" style="1" hidden="1" customWidth="1"/>
    <col min="1611" max="1792" width="12.140625" style="1" customWidth="1"/>
    <col min="1793" max="1793" width="4.00390625" style="1" customWidth="1"/>
    <col min="1794" max="1794" width="14.28125" style="1" customWidth="1"/>
    <col min="1795" max="1795" width="62.421875" style="1" customWidth="1"/>
    <col min="1796" max="1796" width="15.8515625" style="1" customWidth="1"/>
    <col min="1797" max="1797" width="10.8515625" style="1" customWidth="1"/>
    <col min="1798" max="1798" width="75.57421875" style="1" customWidth="1"/>
    <col min="1799" max="1799" width="5.8515625" style="1" customWidth="1"/>
    <col min="1800" max="1800" width="11.28125" style="1" customWidth="1"/>
    <col min="1801" max="1801" width="12.00390625" style="1" customWidth="1"/>
    <col min="1802" max="1802" width="10.28125" style="1" customWidth="1"/>
    <col min="1803" max="1803" width="12.00390625" style="1" customWidth="1"/>
    <col min="1804" max="1804" width="12.28125" style="1" customWidth="1"/>
    <col min="1805" max="1805" width="11.7109375" style="1" customWidth="1"/>
    <col min="1806" max="1816" width="12.140625" style="1" customWidth="1"/>
    <col min="1817" max="1866" width="12.140625" style="1" hidden="1" customWidth="1"/>
    <col min="1867" max="2048" width="12.140625" style="1" customWidth="1"/>
    <col min="2049" max="2049" width="4.00390625" style="1" customWidth="1"/>
    <col min="2050" max="2050" width="14.28125" style="1" customWidth="1"/>
    <col min="2051" max="2051" width="62.421875" style="1" customWidth="1"/>
    <col min="2052" max="2052" width="15.8515625" style="1" customWidth="1"/>
    <col min="2053" max="2053" width="10.8515625" style="1" customWidth="1"/>
    <col min="2054" max="2054" width="75.57421875" style="1" customWidth="1"/>
    <col min="2055" max="2055" width="5.8515625" style="1" customWidth="1"/>
    <col min="2056" max="2056" width="11.28125" style="1" customWidth="1"/>
    <col min="2057" max="2057" width="12.00390625" style="1" customWidth="1"/>
    <col min="2058" max="2058" width="10.28125" style="1" customWidth="1"/>
    <col min="2059" max="2059" width="12.00390625" style="1" customWidth="1"/>
    <col min="2060" max="2060" width="12.28125" style="1" customWidth="1"/>
    <col min="2061" max="2061" width="11.7109375" style="1" customWidth="1"/>
    <col min="2062" max="2072" width="12.140625" style="1" customWidth="1"/>
    <col min="2073" max="2122" width="12.140625" style="1" hidden="1" customWidth="1"/>
    <col min="2123" max="2304" width="12.140625" style="1" customWidth="1"/>
    <col min="2305" max="2305" width="4.00390625" style="1" customWidth="1"/>
    <col min="2306" max="2306" width="14.28125" style="1" customWidth="1"/>
    <col min="2307" max="2307" width="62.421875" style="1" customWidth="1"/>
    <col min="2308" max="2308" width="15.8515625" style="1" customWidth="1"/>
    <col min="2309" max="2309" width="10.8515625" style="1" customWidth="1"/>
    <col min="2310" max="2310" width="75.57421875" style="1" customWidth="1"/>
    <col min="2311" max="2311" width="5.8515625" style="1" customWidth="1"/>
    <col min="2312" max="2312" width="11.28125" style="1" customWidth="1"/>
    <col min="2313" max="2313" width="12.00390625" style="1" customWidth="1"/>
    <col min="2314" max="2314" width="10.28125" style="1" customWidth="1"/>
    <col min="2315" max="2315" width="12.00390625" style="1" customWidth="1"/>
    <col min="2316" max="2316" width="12.28125" style="1" customWidth="1"/>
    <col min="2317" max="2317" width="11.7109375" style="1" customWidth="1"/>
    <col min="2318" max="2328" width="12.140625" style="1" customWidth="1"/>
    <col min="2329" max="2378" width="12.140625" style="1" hidden="1" customWidth="1"/>
    <col min="2379" max="2560" width="12.140625" style="1" customWidth="1"/>
    <col min="2561" max="2561" width="4.00390625" style="1" customWidth="1"/>
    <col min="2562" max="2562" width="14.28125" style="1" customWidth="1"/>
    <col min="2563" max="2563" width="62.421875" style="1" customWidth="1"/>
    <col min="2564" max="2564" width="15.8515625" style="1" customWidth="1"/>
    <col min="2565" max="2565" width="10.8515625" style="1" customWidth="1"/>
    <col min="2566" max="2566" width="75.57421875" style="1" customWidth="1"/>
    <col min="2567" max="2567" width="5.8515625" style="1" customWidth="1"/>
    <col min="2568" max="2568" width="11.28125" style="1" customWidth="1"/>
    <col min="2569" max="2569" width="12.00390625" style="1" customWidth="1"/>
    <col min="2570" max="2570" width="10.28125" style="1" customWidth="1"/>
    <col min="2571" max="2571" width="12.00390625" style="1" customWidth="1"/>
    <col min="2572" max="2572" width="12.28125" style="1" customWidth="1"/>
    <col min="2573" max="2573" width="11.7109375" style="1" customWidth="1"/>
    <col min="2574" max="2584" width="12.140625" style="1" customWidth="1"/>
    <col min="2585" max="2634" width="12.140625" style="1" hidden="1" customWidth="1"/>
    <col min="2635" max="2816" width="12.140625" style="1" customWidth="1"/>
    <col min="2817" max="2817" width="4.00390625" style="1" customWidth="1"/>
    <col min="2818" max="2818" width="14.28125" style="1" customWidth="1"/>
    <col min="2819" max="2819" width="62.421875" style="1" customWidth="1"/>
    <col min="2820" max="2820" width="15.8515625" style="1" customWidth="1"/>
    <col min="2821" max="2821" width="10.8515625" style="1" customWidth="1"/>
    <col min="2822" max="2822" width="75.57421875" style="1" customWidth="1"/>
    <col min="2823" max="2823" width="5.8515625" style="1" customWidth="1"/>
    <col min="2824" max="2824" width="11.28125" style="1" customWidth="1"/>
    <col min="2825" max="2825" width="12.00390625" style="1" customWidth="1"/>
    <col min="2826" max="2826" width="10.28125" style="1" customWidth="1"/>
    <col min="2827" max="2827" width="12.00390625" style="1" customWidth="1"/>
    <col min="2828" max="2828" width="12.28125" style="1" customWidth="1"/>
    <col min="2829" max="2829" width="11.7109375" style="1" customWidth="1"/>
    <col min="2830" max="2840" width="12.140625" style="1" customWidth="1"/>
    <col min="2841" max="2890" width="12.140625" style="1" hidden="1" customWidth="1"/>
    <col min="2891" max="3072" width="12.140625" style="1" customWidth="1"/>
    <col min="3073" max="3073" width="4.00390625" style="1" customWidth="1"/>
    <col min="3074" max="3074" width="14.28125" style="1" customWidth="1"/>
    <col min="3075" max="3075" width="62.421875" style="1" customWidth="1"/>
    <col min="3076" max="3076" width="15.8515625" style="1" customWidth="1"/>
    <col min="3077" max="3077" width="10.8515625" style="1" customWidth="1"/>
    <col min="3078" max="3078" width="75.57421875" style="1" customWidth="1"/>
    <col min="3079" max="3079" width="5.8515625" style="1" customWidth="1"/>
    <col min="3080" max="3080" width="11.28125" style="1" customWidth="1"/>
    <col min="3081" max="3081" width="12.00390625" style="1" customWidth="1"/>
    <col min="3082" max="3082" width="10.28125" style="1" customWidth="1"/>
    <col min="3083" max="3083" width="12.00390625" style="1" customWidth="1"/>
    <col min="3084" max="3084" width="12.28125" style="1" customWidth="1"/>
    <col min="3085" max="3085" width="11.7109375" style="1" customWidth="1"/>
    <col min="3086" max="3096" width="12.140625" style="1" customWidth="1"/>
    <col min="3097" max="3146" width="12.140625" style="1" hidden="1" customWidth="1"/>
    <col min="3147" max="3328" width="12.140625" style="1" customWidth="1"/>
    <col min="3329" max="3329" width="4.00390625" style="1" customWidth="1"/>
    <col min="3330" max="3330" width="14.28125" style="1" customWidth="1"/>
    <col min="3331" max="3331" width="62.421875" style="1" customWidth="1"/>
    <col min="3332" max="3332" width="15.8515625" style="1" customWidth="1"/>
    <col min="3333" max="3333" width="10.8515625" style="1" customWidth="1"/>
    <col min="3334" max="3334" width="75.57421875" style="1" customWidth="1"/>
    <col min="3335" max="3335" width="5.8515625" style="1" customWidth="1"/>
    <col min="3336" max="3336" width="11.28125" style="1" customWidth="1"/>
    <col min="3337" max="3337" width="12.00390625" style="1" customWidth="1"/>
    <col min="3338" max="3338" width="10.28125" style="1" customWidth="1"/>
    <col min="3339" max="3339" width="12.00390625" style="1" customWidth="1"/>
    <col min="3340" max="3340" width="12.28125" style="1" customWidth="1"/>
    <col min="3341" max="3341" width="11.7109375" style="1" customWidth="1"/>
    <col min="3342" max="3352" width="12.140625" style="1" customWidth="1"/>
    <col min="3353" max="3402" width="12.140625" style="1" hidden="1" customWidth="1"/>
    <col min="3403" max="3584" width="12.140625" style="1" customWidth="1"/>
    <col min="3585" max="3585" width="4.00390625" style="1" customWidth="1"/>
    <col min="3586" max="3586" width="14.28125" style="1" customWidth="1"/>
    <col min="3587" max="3587" width="62.421875" style="1" customWidth="1"/>
    <col min="3588" max="3588" width="15.8515625" style="1" customWidth="1"/>
    <col min="3589" max="3589" width="10.8515625" style="1" customWidth="1"/>
    <col min="3590" max="3590" width="75.57421875" style="1" customWidth="1"/>
    <col min="3591" max="3591" width="5.8515625" style="1" customWidth="1"/>
    <col min="3592" max="3592" width="11.28125" style="1" customWidth="1"/>
    <col min="3593" max="3593" width="12.00390625" style="1" customWidth="1"/>
    <col min="3594" max="3594" width="10.28125" style="1" customWidth="1"/>
    <col min="3595" max="3595" width="12.00390625" style="1" customWidth="1"/>
    <col min="3596" max="3596" width="12.28125" style="1" customWidth="1"/>
    <col min="3597" max="3597" width="11.7109375" style="1" customWidth="1"/>
    <col min="3598" max="3608" width="12.140625" style="1" customWidth="1"/>
    <col min="3609" max="3658" width="12.140625" style="1" hidden="1" customWidth="1"/>
    <col min="3659" max="3840" width="12.140625" style="1" customWidth="1"/>
    <col min="3841" max="3841" width="4.00390625" style="1" customWidth="1"/>
    <col min="3842" max="3842" width="14.28125" style="1" customWidth="1"/>
    <col min="3843" max="3843" width="62.421875" style="1" customWidth="1"/>
    <col min="3844" max="3844" width="15.8515625" style="1" customWidth="1"/>
    <col min="3845" max="3845" width="10.8515625" style="1" customWidth="1"/>
    <col min="3846" max="3846" width="75.57421875" style="1" customWidth="1"/>
    <col min="3847" max="3847" width="5.8515625" style="1" customWidth="1"/>
    <col min="3848" max="3848" width="11.28125" style="1" customWidth="1"/>
    <col min="3849" max="3849" width="12.00390625" style="1" customWidth="1"/>
    <col min="3850" max="3850" width="10.28125" style="1" customWidth="1"/>
    <col min="3851" max="3851" width="12.00390625" style="1" customWidth="1"/>
    <col min="3852" max="3852" width="12.28125" style="1" customWidth="1"/>
    <col min="3853" max="3853" width="11.7109375" style="1" customWidth="1"/>
    <col min="3854" max="3864" width="12.140625" style="1" customWidth="1"/>
    <col min="3865" max="3914" width="12.140625" style="1" hidden="1" customWidth="1"/>
    <col min="3915" max="4096" width="12.140625" style="1" customWidth="1"/>
    <col min="4097" max="4097" width="4.00390625" style="1" customWidth="1"/>
    <col min="4098" max="4098" width="14.28125" style="1" customWidth="1"/>
    <col min="4099" max="4099" width="62.421875" style="1" customWidth="1"/>
    <col min="4100" max="4100" width="15.8515625" style="1" customWidth="1"/>
    <col min="4101" max="4101" width="10.8515625" style="1" customWidth="1"/>
    <col min="4102" max="4102" width="75.57421875" style="1" customWidth="1"/>
    <col min="4103" max="4103" width="5.8515625" style="1" customWidth="1"/>
    <col min="4104" max="4104" width="11.28125" style="1" customWidth="1"/>
    <col min="4105" max="4105" width="12.00390625" style="1" customWidth="1"/>
    <col min="4106" max="4106" width="10.28125" style="1" customWidth="1"/>
    <col min="4107" max="4107" width="12.00390625" style="1" customWidth="1"/>
    <col min="4108" max="4108" width="12.28125" style="1" customWidth="1"/>
    <col min="4109" max="4109" width="11.7109375" style="1" customWidth="1"/>
    <col min="4110" max="4120" width="12.140625" style="1" customWidth="1"/>
    <col min="4121" max="4170" width="12.140625" style="1" hidden="1" customWidth="1"/>
    <col min="4171" max="4352" width="12.140625" style="1" customWidth="1"/>
    <col min="4353" max="4353" width="4.00390625" style="1" customWidth="1"/>
    <col min="4354" max="4354" width="14.28125" style="1" customWidth="1"/>
    <col min="4355" max="4355" width="62.421875" style="1" customWidth="1"/>
    <col min="4356" max="4356" width="15.8515625" style="1" customWidth="1"/>
    <col min="4357" max="4357" width="10.8515625" style="1" customWidth="1"/>
    <col min="4358" max="4358" width="75.57421875" style="1" customWidth="1"/>
    <col min="4359" max="4359" width="5.8515625" style="1" customWidth="1"/>
    <col min="4360" max="4360" width="11.28125" style="1" customWidth="1"/>
    <col min="4361" max="4361" width="12.00390625" style="1" customWidth="1"/>
    <col min="4362" max="4362" width="10.28125" style="1" customWidth="1"/>
    <col min="4363" max="4363" width="12.00390625" style="1" customWidth="1"/>
    <col min="4364" max="4364" width="12.28125" style="1" customWidth="1"/>
    <col min="4365" max="4365" width="11.7109375" style="1" customWidth="1"/>
    <col min="4366" max="4376" width="12.140625" style="1" customWidth="1"/>
    <col min="4377" max="4426" width="12.140625" style="1" hidden="1" customWidth="1"/>
    <col min="4427" max="4608" width="12.140625" style="1" customWidth="1"/>
    <col min="4609" max="4609" width="4.00390625" style="1" customWidth="1"/>
    <col min="4610" max="4610" width="14.28125" style="1" customWidth="1"/>
    <col min="4611" max="4611" width="62.421875" style="1" customWidth="1"/>
    <col min="4612" max="4612" width="15.8515625" style="1" customWidth="1"/>
    <col min="4613" max="4613" width="10.8515625" style="1" customWidth="1"/>
    <col min="4614" max="4614" width="75.57421875" style="1" customWidth="1"/>
    <col min="4615" max="4615" width="5.8515625" style="1" customWidth="1"/>
    <col min="4616" max="4616" width="11.28125" style="1" customWidth="1"/>
    <col min="4617" max="4617" width="12.00390625" style="1" customWidth="1"/>
    <col min="4618" max="4618" width="10.28125" style="1" customWidth="1"/>
    <col min="4619" max="4619" width="12.00390625" style="1" customWidth="1"/>
    <col min="4620" max="4620" width="12.28125" style="1" customWidth="1"/>
    <col min="4621" max="4621" width="11.7109375" style="1" customWidth="1"/>
    <col min="4622" max="4632" width="12.140625" style="1" customWidth="1"/>
    <col min="4633" max="4682" width="12.140625" style="1" hidden="1" customWidth="1"/>
    <col min="4683" max="4864" width="12.140625" style="1" customWidth="1"/>
    <col min="4865" max="4865" width="4.00390625" style="1" customWidth="1"/>
    <col min="4866" max="4866" width="14.28125" style="1" customWidth="1"/>
    <col min="4867" max="4867" width="62.421875" style="1" customWidth="1"/>
    <col min="4868" max="4868" width="15.8515625" style="1" customWidth="1"/>
    <col min="4869" max="4869" width="10.8515625" style="1" customWidth="1"/>
    <col min="4870" max="4870" width="75.57421875" style="1" customWidth="1"/>
    <col min="4871" max="4871" width="5.8515625" style="1" customWidth="1"/>
    <col min="4872" max="4872" width="11.28125" style="1" customWidth="1"/>
    <col min="4873" max="4873" width="12.00390625" style="1" customWidth="1"/>
    <col min="4874" max="4874" width="10.28125" style="1" customWidth="1"/>
    <col min="4875" max="4875" width="12.00390625" style="1" customWidth="1"/>
    <col min="4876" max="4876" width="12.28125" style="1" customWidth="1"/>
    <col min="4877" max="4877" width="11.7109375" style="1" customWidth="1"/>
    <col min="4878" max="4888" width="12.140625" style="1" customWidth="1"/>
    <col min="4889" max="4938" width="12.140625" style="1" hidden="1" customWidth="1"/>
    <col min="4939" max="5120" width="12.140625" style="1" customWidth="1"/>
    <col min="5121" max="5121" width="4.00390625" style="1" customWidth="1"/>
    <col min="5122" max="5122" width="14.28125" style="1" customWidth="1"/>
    <col min="5123" max="5123" width="62.421875" style="1" customWidth="1"/>
    <col min="5124" max="5124" width="15.8515625" style="1" customWidth="1"/>
    <col min="5125" max="5125" width="10.8515625" style="1" customWidth="1"/>
    <col min="5126" max="5126" width="75.57421875" style="1" customWidth="1"/>
    <col min="5127" max="5127" width="5.8515625" style="1" customWidth="1"/>
    <col min="5128" max="5128" width="11.28125" style="1" customWidth="1"/>
    <col min="5129" max="5129" width="12.00390625" style="1" customWidth="1"/>
    <col min="5130" max="5130" width="10.28125" style="1" customWidth="1"/>
    <col min="5131" max="5131" width="12.00390625" style="1" customWidth="1"/>
    <col min="5132" max="5132" width="12.28125" style="1" customWidth="1"/>
    <col min="5133" max="5133" width="11.7109375" style="1" customWidth="1"/>
    <col min="5134" max="5144" width="12.140625" style="1" customWidth="1"/>
    <col min="5145" max="5194" width="12.140625" style="1" hidden="1" customWidth="1"/>
    <col min="5195" max="5376" width="12.140625" style="1" customWidth="1"/>
    <col min="5377" max="5377" width="4.00390625" style="1" customWidth="1"/>
    <col min="5378" max="5378" width="14.28125" style="1" customWidth="1"/>
    <col min="5379" max="5379" width="62.421875" style="1" customWidth="1"/>
    <col min="5380" max="5380" width="15.8515625" style="1" customWidth="1"/>
    <col min="5381" max="5381" width="10.8515625" style="1" customWidth="1"/>
    <col min="5382" max="5382" width="75.57421875" style="1" customWidth="1"/>
    <col min="5383" max="5383" width="5.8515625" style="1" customWidth="1"/>
    <col min="5384" max="5384" width="11.28125" style="1" customWidth="1"/>
    <col min="5385" max="5385" width="12.00390625" style="1" customWidth="1"/>
    <col min="5386" max="5386" width="10.28125" style="1" customWidth="1"/>
    <col min="5387" max="5387" width="12.00390625" style="1" customWidth="1"/>
    <col min="5388" max="5388" width="12.28125" style="1" customWidth="1"/>
    <col min="5389" max="5389" width="11.7109375" style="1" customWidth="1"/>
    <col min="5390" max="5400" width="12.140625" style="1" customWidth="1"/>
    <col min="5401" max="5450" width="12.140625" style="1" hidden="1" customWidth="1"/>
    <col min="5451" max="5632" width="12.140625" style="1" customWidth="1"/>
    <col min="5633" max="5633" width="4.00390625" style="1" customWidth="1"/>
    <col min="5634" max="5634" width="14.28125" style="1" customWidth="1"/>
    <col min="5635" max="5635" width="62.421875" style="1" customWidth="1"/>
    <col min="5636" max="5636" width="15.8515625" style="1" customWidth="1"/>
    <col min="5637" max="5637" width="10.8515625" style="1" customWidth="1"/>
    <col min="5638" max="5638" width="75.57421875" style="1" customWidth="1"/>
    <col min="5639" max="5639" width="5.8515625" style="1" customWidth="1"/>
    <col min="5640" max="5640" width="11.28125" style="1" customWidth="1"/>
    <col min="5641" max="5641" width="12.00390625" style="1" customWidth="1"/>
    <col min="5642" max="5642" width="10.28125" style="1" customWidth="1"/>
    <col min="5643" max="5643" width="12.00390625" style="1" customWidth="1"/>
    <col min="5644" max="5644" width="12.28125" style="1" customWidth="1"/>
    <col min="5645" max="5645" width="11.7109375" style="1" customWidth="1"/>
    <col min="5646" max="5656" width="12.140625" style="1" customWidth="1"/>
    <col min="5657" max="5706" width="12.140625" style="1" hidden="1" customWidth="1"/>
    <col min="5707" max="5888" width="12.140625" style="1" customWidth="1"/>
    <col min="5889" max="5889" width="4.00390625" style="1" customWidth="1"/>
    <col min="5890" max="5890" width="14.28125" style="1" customWidth="1"/>
    <col min="5891" max="5891" width="62.421875" style="1" customWidth="1"/>
    <col min="5892" max="5892" width="15.8515625" style="1" customWidth="1"/>
    <col min="5893" max="5893" width="10.8515625" style="1" customWidth="1"/>
    <col min="5894" max="5894" width="75.57421875" style="1" customWidth="1"/>
    <col min="5895" max="5895" width="5.8515625" style="1" customWidth="1"/>
    <col min="5896" max="5896" width="11.28125" style="1" customWidth="1"/>
    <col min="5897" max="5897" width="12.00390625" style="1" customWidth="1"/>
    <col min="5898" max="5898" width="10.28125" style="1" customWidth="1"/>
    <col min="5899" max="5899" width="12.00390625" style="1" customWidth="1"/>
    <col min="5900" max="5900" width="12.28125" style="1" customWidth="1"/>
    <col min="5901" max="5901" width="11.7109375" style="1" customWidth="1"/>
    <col min="5902" max="5912" width="12.140625" style="1" customWidth="1"/>
    <col min="5913" max="5962" width="12.140625" style="1" hidden="1" customWidth="1"/>
    <col min="5963" max="6144" width="12.140625" style="1" customWidth="1"/>
    <col min="6145" max="6145" width="4.00390625" style="1" customWidth="1"/>
    <col min="6146" max="6146" width="14.28125" style="1" customWidth="1"/>
    <col min="6147" max="6147" width="62.421875" style="1" customWidth="1"/>
    <col min="6148" max="6148" width="15.8515625" style="1" customWidth="1"/>
    <col min="6149" max="6149" width="10.8515625" style="1" customWidth="1"/>
    <col min="6150" max="6150" width="75.57421875" style="1" customWidth="1"/>
    <col min="6151" max="6151" width="5.8515625" style="1" customWidth="1"/>
    <col min="6152" max="6152" width="11.28125" style="1" customWidth="1"/>
    <col min="6153" max="6153" width="12.00390625" style="1" customWidth="1"/>
    <col min="6154" max="6154" width="10.28125" style="1" customWidth="1"/>
    <col min="6155" max="6155" width="12.00390625" style="1" customWidth="1"/>
    <col min="6156" max="6156" width="12.28125" style="1" customWidth="1"/>
    <col min="6157" max="6157" width="11.7109375" style="1" customWidth="1"/>
    <col min="6158" max="6168" width="12.140625" style="1" customWidth="1"/>
    <col min="6169" max="6218" width="12.140625" style="1" hidden="1" customWidth="1"/>
    <col min="6219" max="6400" width="12.140625" style="1" customWidth="1"/>
    <col min="6401" max="6401" width="4.00390625" style="1" customWidth="1"/>
    <col min="6402" max="6402" width="14.28125" style="1" customWidth="1"/>
    <col min="6403" max="6403" width="62.421875" style="1" customWidth="1"/>
    <col min="6404" max="6404" width="15.8515625" style="1" customWidth="1"/>
    <col min="6405" max="6405" width="10.8515625" style="1" customWidth="1"/>
    <col min="6406" max="6406" width="75.57421875" style="1" customWidth="1"/>
    <col min="6407" max="6407" width="5.8515625" style="1" customWidth="1"/>
    <col min="6408" max="6408" width="11.28125" style="1" customWidth="1"/>
    <col min="6409" max="6409" width="12.00390625" style="1" customWidth="1"/>
    <col min="6410" max="6410" width="10.28125" style="1" customWidth="1"/>
    <col min="6411" max="6411" width="12.00390625" style="1" customWidth="1"/>
    <col min="6412" max="6412" width="12.28125" style="1" customWidth="1"/>
    <col min="6413" max="6413" width="11.7109375" style="1" customWidth="1"/>
    <col min="6414" max="6424" width="12.140625" style="1" customWidth="1"/>
    <col min="6425" max="6474" width="12.140625" style="1" hidden="1" customWidth="1"/>
    <col min="6475" max="6656" width="12.140625" style="1" customWidth="1"/>
    <col min="6657" max="6657" width="4.00390625" style="1" customWidth="1"/>
    <col min="6658" max="6658" width="14.28125" style="1" customWidth="1"/>
    <col min="6659" max="6659" width="62.421875" style="1" customWidth="1"/>
    <col min="6660" max="6660" width="15.8515625" style="1" customWidth="1"/>
    <col min="6661" max="6661" width="10.8515625" style="1" customWidth="1"/>
    <col min="6662" max="6662" width="75.57421875" style="1" customWidth="1"/>
    <col min="6663" max="6663" width="5.8515625" style="1" customWidth="1"/>
    <col min="6664" max="6664" width="11.28125" style="1" customWidth="1"/>
    <col min="6665" max="6665" width="12.00390625" style="1" customWidth="1"/>
    <col min="6666" max="6666" width="10.28125" style="1" customWidth="1"/>
    <col min="6667" max="6667" width="12.00390625" style="1" customWidth="1"/>
    <col min="6668" max="6668" width="12.28125" style="1" customWidth="1"/>
    <col min="6669" max="6669" width="11.7109375" style="1" customWidth="1"/>
    <col min="6670" max="6680" width="12.140625" style="1" customWidth="1"/>
    <col min="6681" max="6730" width="12.140625" style="1" hidden="1" customWidth="1"/>
    <col min="6731" max="6912" width="12.140625" style="1" customWidth="1"/>
    <col min="6913" max="6913" width="4.00390625" style="1" customWidth="1"/>
    <col min="6914" max="6914" width="14.28125" style="1" customWidth="1"/>
    <col min="6915" max="6915" width="62.421875" style="1" customWidth="1"/>
    <col min="6916" max="6916" width="15.8515625" style="1" customWidth="1"/>
    <col min="6917" max="6917" width="10.8515625" style="1" customWidth="1"/>
    <col min="6918" max="6918" width="75.57421875" style="1" customWidth="1"/>
    <col min="6919" max="6919" width="5.8515625" style="1" customWidth="1"/>
    <col min="6920" max="6920" width="11.28125" style="1" customWidth="1"/>
    <col min="6921" max="6921" width="12.00390625" style="1" customWidth="1"/>
    <col min="6922" max="6922" width="10.28125" style="1" customWidth="1"/>
    <col min="6923" max="6923" width="12.00390625" style="1" customWidth="1"/>
    <col min="6924" max="6924" width="12.28125" style="1" customWidth="1"/>
    <col min="6925" max="6925" width="11.7109375" style="1" customWidth="1"/>
    <col min="6926" max="6936" width="12.140625" style="1" customWidth="1"/>
    <col min="6937" max="6986" width="12.140625" style="1" hidden="1" customWidth="1"/>
    <col min="6987" max="7168" width="12.140625" style="1" customWidth="1"/>
    <col min="7169" max="7169" width="4.00390625" style="1" customWidth="1"/>
    <col min="7170" max="7170" width="14.28125" style="1" customWidth="1"/>
    <col min="7171" max="7171" width="62.421875" style="1" customWidth="1"/>
    <col min="7172" max="7172" width="15.8515625" style="1" customWidth="1"/>
    <col min="7173" max="7173" width="10.8515625" style="1" customWidth="1"/>
    <col min="7174" max="7174" width="75.57421875" style="1" customWidth="1"/>
    <col min="7175" max="7175" width="5.8515625" style="1" customWidth="1"/>
    <col min="7176" max="7176" width="11.28125" style="1" customWidth="1"/>
    <col min="7177" max="7177" width="12.00390625" style="1" customWidth="1"/>
    <col min="7178" max="7178" width="10.28125" style="1" customWidth="1"/>
    <col min="7179" max="7179" width="12.00390625" style="1" customWidth="1"/>
    <col min="7180" max="7180" width="12.28125" style="1" customWidth="1"/>
    <col min="7181" max="7181" width="11.7109375" style="1" customWidth="1"/>
    <col min="7182" max="7192" width="12.140625" style="1" customWidth="1"/>
    <col min="7193" max="7242" width="12.140625" style="1" hidden="1" customWidth="1"/>
    <col min="7243" max="7424" width="12.140625" style="1" customWidth="1"/>
    <col min="7425" max="7425" width="4.00390625" style="1" customWidth="1"/>
    <col min="7426" max="7426" width="14.28125" style="1" customWidth="1"/>
    <col min="7427" max="7427" width="62.421875" style="1" customWidth="1"/>
    <col min="7428" max="7428" width="15.8515625" style="1" customWidth="1"/>
    <col min="7429" max="7429" width="10.8515625" style="1" customWidth="1"/>
    <col min="7430" max="7430" width="75.57421875" style="1" customWidth="1"/>
    <col min="7431" max="7431" width="5.8515625" style="1" customWidth="1"/>
    <col min="7432" max="7432" width="11.28125" style="1" customWidth="1"/>
    <col min="7433" max="7433" width="12.00390625" style="1" customWidth="1"/>
    <col min="7434" max="7434" width="10.28125" style="1" customWidth="1"/>
    <col min="7435" max="7435" width="12.00390625" style="1" customWidth="1"/>
    <col min="7436" max="7436" width="12.28125" style="1" customWidth="1"/>
    <col min="7437" max="7437" width="11.7109375" style="1" customWidth="1"/>
    <col min="7438" max="7448" width="12.140625" style="1" customWidth="1"/>
    <col min="7449" max="7498" width="12.140625" style="1" hidden="1" customWidth="1"/>
    <col min="7499" max="7680" width="12.140625" style="1" customWidth="1"/>
    <col min="7681" max="7681" width="4.00390625" style="1" customWidth="1"/>
    <col min="7682" max="7682" width="14.28125" style="1" customWidth="1"/>
    <col min="7683" max="7683" width="62.421875" style="1" customWidth="1"/>
    <col min="7684" max="7684" width="15.8515625" style="1" customWidth="1"/>
    <col min="7685" max="7685" width="10.8515625" style="1" customWidth="1"/>
    <col min="7686" max="7686" width="75.57421875" style="1" customWidth="1"/>
    <col min="7687" max="7687" width="5.8515625" style="1" customWidth="1"/>
    <col min="7688" max="7688" width="11.28125" style="1" customWidth="1"/>
    <col min="7689" max="7689" width="12.00390625" style="1" customWidth="1"/>
    <col min="7690" max="7690" width="10.28125" style="1" customWidth="1"/>
    <col min="7691" max="7691" width="12.00390625" style="1" customWidth="1"/>
    <col min="7692" max="7692" width="12.28125" style="1" customWidth="1"/>
    <col min="7693" max="7693" width="11.7109375" style="1" customWidth="1"/>
    <col min="7694" max="7704" width="12.140625" style="1" customWidth="1"/>
    <col min="7705" max="7754" width="12.140625" style="1" hidden="1" customWidth="1"/>
    <col min="7755" max="7936" width="12.140625" style="1" customWidth="1"/>
    <col min="7937" max="7937" width="4.00390625" style="1" customWidth="1"/>
    <col min="7938" max="7938" width="14.28125" style="1" customWidth="1"/>
    <col min="7939" max="7939" width="62.421875" style="1" customWidth="1"/>
    <col min="7940" max="7940" width="15.8515625" style="1" customWidth="1"/>
    <col min="7941" max="7941" width="10.8515625" style="1" customWidth="1"/>
    <col min="7942" max="7942" width="75.57421875" style="1" customWidth="1"/>
    <col min="7943" max="7943" width="5.8515625" style="1" customWidth="1"/>
    <col min="7944" max="7944" width="11.28125" style="1" customWidth="1"/>
    <col min="7945" max="7945" width="12.00390625" style="1" customWidth="1"/>
    <col min="7946" max="7946" width="10.28125" style="1" customWidth="1"/>
    <col min="7947" max="7947" width="12.00390625" style="1" customWidth="1"/>
    <col min="7948" max="7948" width="12.28125" style="1" customWidth="1"/>
    <col min="7949" max="7949" width="11.7109375" style="1" customWidth="1"/>
    <col min="7950" max="7960" width="12.140625" style="1" customWidth="1"/>
    <col min="7961" max="8010" width="12.140625" style="1" hidden="1" customWidth="1"/>
    <col min="8011" max="8192" width="12.140625" style="1" customWidth="1"/>
    <col min="8193" max="8193" width="4.00390625" style="1" customWidth="1"/>
    <col min="8194" max="8194" width="14.28125" style="1" customWidth="1"/>
    <col min="8195" max="8195" width="62.421875" style="1" customWidth="1"/>
    <col min="8196" max="8196" width="15.8515625" style="1" customWidth="1"/>
    <col min="8197" max="8197" width="10.8515625" style="1" customWidth="1"/>
    <col min="8198" max="8198" width="75.57421875" style="1" customWidth="1"/>
    <col min="8199" max="8199" width="5.8515625" style="1" customWidth="1"/>
    <col min="8200" max="8200" width="11.28125" style="1" customWidth="1"/>
    <col min="8201" max="8201" width="12.00390625" style="1" customWidth="1"/>
    <col min="8202" max="8202" width="10.28125" style="1" customWidth="1"/>
    <col min="8203" max="8203" width="12.00390625" style="1" customWidth="1"/>
    <col min="8204" max="8204" width="12.28125" style="1" customWidth="1"/>
    <col min="8205" max="8205" width="11.7109375" style="1" customWidth="1"/>
    <col min="8206" max="8216" width="12.140625" style="1" customWidth="1"/>
    <col min="8217" max="8266" width="12.140625" style="1" hidden="1" customWidth="1"/>
    <col min="8267" max="8448" width="12.140625" style="1" customWidth="1"/>
    <col min="8449" max="8449" width="4.00390625" style="1" customWidth="1"/>
    <col min="8450" max="8450" width="14.28125" style="1" customWidth="1"/>
    <col min="8451" max="8451" width="62.421875" style="1" customWidth="1"/>
    <col min="8452" max="8452" width="15.8515625" style="1" customWidth="1"/>
    <col min="8453" max="8453" width="10.8515625" style="1" customWidth="1"/>
    <col min="8454" max="8454" width="75.57421875" style="1" customWidth="1"/>
    <col min="8455" max="8455" width="5.8515625" style="1" customWidth="1"/>
    <col min="8456" max="8456" width="11.28125" style="1" customWidth="1"/>
    <col min="8457" max="8457" width="12.00390625" style="1" customWidth="1"/>
    <col min="8458" max="8458" width="10.28125" style="1" customWidth="1"/>
    <col min="8459" max="8459" width="12.00390625" style="1" customWidth="1"/>
    <col min="8460" max="8460" width="12.28125" style="1" customWidth="1"/>
    <col min="8461" max="8461" width="11.7109375" style="1" customWidth="1"/>
    <col min="8462" max="8472" width="12.140625" style="1" customWidth="1"/>
    <col min="8473" max="8522" width="12.140625" style="1" hidden="1" customWidth="1"/>
    <col min="8523" max="8704" width="12.140625" style="1" customWidth="1"/>
    <col min="8705" max="8705" width="4.00390625" style="1" customWidth="1"/>
    <col min="8706" max="8706" width="14.28125" style="1" customWidth="1"/>
    <col min="8707" max="8707" width="62.421875" style="1" customWidth="1"/>
    <col min="8708" max="8708" width="15.8515625" style="1" customWidth="1"/>
    <col min="8709" max="8709" width="10.8515625" style="1" customWidth="1"/>
    <col min="8710" max="8710" width="75.57421875" style="1" customWidth="1"/>
    <col min="8711" max="8711" width="5.8515625" style="1" customWidth="1"/>
    <col min="8712" max="8712" width="11.28125" style="1" customWidth="1"/>
    <col min="8713" max="8713" width="12.00390625" style="1" customWidth="1"/>
    <col min="8714" max="8714" width="10.28125" style="1" customWidth="1"/>
    <col min="8715" max="8715" width="12.00390625" style="1" customWidth="1"/>
    <col min="8716" max="8716" width="12.28125" style="1" customWidth="1"/>
    <col min="8717" max="8717" width="11.7109375" style="1" customWidth="1"/>
    <col min="8718" max="8728" width="12.140625" style="1" customWidth="1"/>
    <col min="8729" max="8778" width="12.140625" style="1" hidden="1" customWidth="1"/>
    <col min="8779" max="8960" width="12.140625" style="1" customWidth="1"/>
    <col min="8961" max="8961" width="4.00390625" style="1" customWidth="1"/>
    <col min="8962" max="8962" width="14.28125" style="1" customWidth="1"/>
    <col min="8963" max="8963" width="62.421875" style="1" customWidth="1"/>
    <col min="8964" max="8964" width="15.8515625" style="1" customWidth="1"/>
    <col min="8965" max="8965" width="10.8515625" style="1" customWidth="1"/>
    <col min="8966" max="8966" width="75.57421875" style="1" customWidth="1"/>
    <col min="8967" max="8967" width="5.8515625" style="1" customWidth="1"/>
    <col min="8968" max="8968" width="11.28125" style="1" customWidth="1"/>
    <col min="8969" max="8969" width="12.00390625" style="1" customWidth="1"/>
    <col min="8970" max="8970" width="10.28125" style="1" customWidth="1"/>
    <col min="8971" max="8971" width="12.00390625" style="1" customWidth="1"/>
    <col min="8972" max="8972" width="12.28125" style="1" customWidth="1"/>
    <col min="8973" max="8973" width="11.7109375" style="1" customWidth="1"/>
    <col min="8974" max="8984" width="12.140625" style="1" customWidth="1"/>
    <col min="8985" max="9034" width="12.140625" style="1" hidden="1" customWidth="1"/>
    <col min="9035" max="9216" width="12.140625" style="1" customWidth="1"/>
    <col min="9217" max="9217" width="4.00390625" style="1" customWidth="1"/>
    <col min="9218" max="9218" width="14.28125" style="1" customWidth="1"/>
    <col min="9219" max="9219" width="62.421875" style="1" customWidth="1"/>
    <col min="9220" max="9220" width="15.8515625" style="1" customWidth="1"/>
    <col min="9221" max="9221" width="10.8515625" style="1" customWidth="1"/>
    <col min="9222" max="9222" width="75.57421875" style="1" customWidth="1"/>
    <col min="9223" max="9223" width="5.8515625" style="1" customWidth="1"/>
    <col min="9224" max="9224" width="11.28125" style="1" customWidth="1"/>
    <col min="9225" max="9225" width="12.00390625" style="1" customWidth="1"/>
    <col min="9226" max="9226" width="10.28125" style="1" customWidth="1"/>
    <col min="9227" max="9227" width="12.00390625" style="1" customWidth="1"/>
    <col min="9228" max="9228" width="12.28125" style="1" customWidth="1"/>
    <col min="9229" max="9229" width="11.7109375" style="1" customWidth="1"/>
    <col min="9230" max="9240" width="12.140625" style="1" customWidth="1"/>
    <col min="9241" max="9290" width="12.140625" style="1" hidden="1" customWidth="1"/>
    <col min="9291" max="9472" width="12.140625" style="1" customWidth="1"/>
    <col min="9473" max="9473" width="4.00390625" style="1" customWidth="1"/>
    <col min="9474" max="9474" width="14.28125" style="1" customWidth="1"/>
    <col min="9475" max="9475" width="62.421875" style="1" customWidth="1"/>
    <col min="9476" max="9476" width="15.8515625" style="1" customWidth="1"/>
    <col min="9477" max="9477" width="10.8515625" style="1" customWidth="1"/>
    <col min="9478" max="9478" width="75.57421875" style="1" customWidth="1"/>
    <col min="9479" max="9479" width="5.8515625" style="1" customWidth="1"/>
    <col min="9480" max="9480" width="11.28125" style="1" customWidth="1"/>
    <col min="9481" max="9481" width="12.00390625" style="1" customWidth="1"/>
    <col min="9482" max="9482" width="10.28125" style="1" customWidth="1"/>
    <col min="9483" max="9483" width="12.00390625" style="1" customWidth="1"/>
    <col min="9484" max="9484" width="12.28125" style="1" customWidth="1"/>
    <col min="9485" max="9485" width="11.7109375" style="1" customWidth="1"/>
    <col min="9486" max="9496" width="12.140625" style="1" customWidth="1"/>
    <col min="9497" max="9546" width="12.140625" style="1" hidden="1" customWidth="1"/>
    <col min="9547" max="9728" width="12.140625" style="1" customWidth="1"/>
    <col min="9729" max="9729" width="4.00390625" style="1" customWidth="1"/>
    <col min="9730" max="9730" width="14.28125" style="1" customWidth="1"/>
    <col min="9731" max="9731" width="62.421875" style="1" customWidth="1"/>
    <col min="9732" max="9732" width="15.8515625" style="1" customWidth="1"/>
    <col min="9733" max="9733" width="10.8515625" style="1" customWidth="1"/>
    <col min="9734" max="9734" width="75.57421875" style="1" customWidth="1"/>
    <col min="9735" max="9735" width="5.8515625" style="1" customWidth="1"/>
    <col min="9736" max="9736" width="11.28125" style="1" customWidth="1"/>
    <col min="9737" max="9737" width="12.00390625" style="1" customWidth="1"/>
    <col min="9738" max="9738" width="10.28125" style="1" customWidth="1"/>
    <col min="9739" max="9739" width="12.00390625" style="1" customWidth="1"/>
    <col min="9740" max="9740" width="12.28125" style="1" customWidth="1"/>
    <col min="9741" max="9741" width="11.7109375" style="1" customWidth="1"/>
    <col min="9742" max="9752" width="12.140625" style="1" customWidth="1"/>
    <col min="9753" max="9802" width="12.140625" style="1" hidden="1" customWidth="1"/>
    <col min="9803" max="9984" width="12.140625" style="1" customWidth="1"/>
    <col min="9985" max="9985" width="4.00390625" style="1" customWidth="1"/>
    <col min="9986" max="9986" width="14.28125" style="1" customWidth="1"/>
    <col min="9987" max="9987" width="62.421875" style="1" customWidth="1"/>
    <col min="9988" max="9988" width="15.8515625" style="1" customWidth="1"/>
    <col min="9989" max="9989" width="10.8515625" style="1" customWidth="1"/>
    <col min="9990" max="9990" width="75.57421875" style="1" customWidth="1"/>
    <col min="9991" max="9991" width="5.8515625" style="1" customWidth="1"/>
    <col min="9992" max="9992" width="11.28125" style="1" customWidth="1"/>
    <col min="9993" max="9993" width="12.00390625" style="1" customWidth="1"/>
    <col min="9994" max="9994" width="10.28125" style="1" customWidth="1"/>
    <col min="9995" max="9995" width="12.00390625" style="1" customWidth="1"/>
    <col min="9996" max="9996" width="12.28125" style="1" customWidth="1"/>
    <col min="9997" max="9997" width="11.7109375" style="1" customWidth="1"/>
    <col min="9998" max="10008" width="12.140625" style="1" customWidth="1"/>
    <col min="10009" max="10058" width="12.140625" style="1" hidden="1" customWidth="1"/>
    <col min="10059" max="10240" width="12.140625" style="1" customWidth="1"/>
    <col min="10241" max="10241" width="4.00390625" style="1" customWidth="1"/>
    <col min="10242" max="10242" width="14.28125" style="1" customWidth="1"/>
    <col min="10243" max="10243" width="62.421875" style="1" customWidth="1"/>
    <col min="10244" max="10244" width="15.8515625" style="1" customWidth="1"/>
    <col min="10245" max="10245" width="10.8515625" style="1" customWidth="1"/>
    <col min="10246" max="10246" width="75.57421875" style="1" customWidth="1"/>
    <col min="10247" max="10247" width="5.8515625" style="1" customWidth="1"/>
    <col min="10248" max="10248" width="11.28125" style="1" customWidth="1"/>
    <col min="10249" max="10249" width="12.00390625" style="1" customWidth="1"/>
    <col min="10250" max="10250" width="10.28125" style="1" customWidth="1"/>
    <col min="10251" max="10251" width="12.00390625" style="1" customWidth="1"/>
    <col min="10252" max="10252" width="12.28125" style="1" customWidth="1"/>
    <col min="10253" max="10253" width="11.7109375" style="1" customWidth="1"/>
    <col min="10254" max="10264" width="12.140625" style="1" customWidth="1"/>
    <col min="10265" max="10314" width="12.140625" style="1" hidden="1" customWidth="1"/>
    <col min="10315" max="10496" width="12.140625" style="1" customWidth="1"/>
    <col min="10497" max="10497" width="4.00390625" style="1" customWidth="1"/>
    <col min="10498" max="10498" width="14.28125" style="1" customWidth="1"/>
    <col min="10499" max="10499" width="62.421875" style="1" customWidth="1"/>
    <col min="10500" max="10500" width="15.8515625" style="1" customWidth="1"/>
    <col min="10501" max="10501" width="10.8515625" style="1" customWidth="1"/>
    <col min="10502" max="10502" width="75.57421875" style="1" customWidth="1"/>
    <col min="10503" max="10503" width="5.8515625" style="1" customWidth="1"/>
    <col min="10504" max="10504" width="11.28125" style="1" customWidth="1"/>
    <col min="10505" max="10505" width="12.00390625" style="1" customWidth="1"/>
    <col min="10506" max="10506" width="10.28125" style="1" customWidth="1"/>
    <col min="10507" max="10507" width="12.00390625" style="1" customWidth="1"/>
    <col min="10508" max="10508" width="12.28125" style="1" customWidth="1"/>
    <col min="10509" max="10509" width="11.7109375" style="1" customWidth="1"/>
    <col min="10510" max="10520" width="12.140625" style="1" customWidth="1"/>
    <col min="10521" max="10570" width="12.140625" style="1" hidden="1" customWidth="1"/>
    <col min="10571" max="10752" width="12.140625" style="1" customWidth="1"/>
    <col min="10753" max="10753" width="4.00390625" style="1" customWidth="1"/>
    <col min="10754" max="10754" width="14.28125" style="1" customWidth="1"/>
    <col min="10755" max="10755" width="62.421875" style="1" customWidth="1"/>
    <col min="10756" max="10756" width="15.8515625" style="1" customWidth="1"/>
    <col min="10757" max="10757" width="10.8515625" style="1" customWidth="1"/>
    <col min="10758" max="10758" width="75.57421875" style="1" customWidth="1"/>
    <col min="10759" max="10759" width="5.8515625" style="1" customWidth="1"/>
    <col min="10760" max="10760" width="11.28125" style="1" customWidth="1"/>
    <col min="10761" max="10761" width="12.00390625" style="1" customWidth="1"/>
    <col min="10762" max="10762" width="10.28125" style="1" customWidth="1"/>
    <col min="10763" max="10763" width="12.00390625" style="1" customWidth="1"/>
    <col min="10764" max="10764" width="12.28125" style="1" customWidth="1"/>
    <col min="10765" max="10765" width="11.7109375" style="1" customWidth="1"/>
    <col min="10766" max="10776" width="12.140625" style="1" customWidth="1"/>
    <col min="10777" max="10826" width="12.140625" style="1" hidden="1" customWidth="1"/>
    <col min="10827" max="11008" width="12.140625" style="1" customWidth="1"/>
    <col min="11009" max="11009" width="4.00390625" style="1" customWidth="1"/>
    <col min="11010" max="11010" width="14.28125" style="1" customWidth="1"/>
    <col min="11011" max="11011" width="62.421875" style="1" customWidth="1"/>
    <col min="11012" max="11012" width="15.8515625" style="1" customWidth="1"/>
    <col min="11013" max="11013" width="10.8515625" style="1" customWidth="1"/>
    <col min="11014" max="11014" width="75.57421875" style="1" customWidth="1"/>
    <col min="11015" max="11015" width="5.8515625" style="1" customWidth="1"/>
    <col min="11016" max="11016" width="11.28125" style="1" customWidth="1"/>
    <col min="11017" max="11017" width="12.00390625" style="1" customWidth="1"/>
    <col min="11018" max="11018" width="10.28125" style="1" customWidth="1"/>
    <col min="11019" max="11019" width="12.00390625" style="1" customWidth="1"/>
    <col min="11020" max="11020" width="12.28125" style="1" customWidth="1"/>
    <col min="11021" max="11021" width="11.7109375" style="1" customWidth="1"/>
    <col min="11022" max="11032" width="12.140625" style="1" customWidth="1"/>
    <col min="11033" max="11082" width="12.140625" style="1" hidden="1" customWidth="1"/>
    <col min="11083" max="11264" width="12.140625" style="1" customWidth="1"/>
    <col min="11265" max="11265" width="4.00390625" style="1" customWidth="1"/>
    <col min="11266" max="11266" width="14.28125" style="1" customWidth="1"/>
    <col min="11267" max="11267" width="62.421875" style="1" customWidth="1"/>
    <col min="11268" max="11268" width="15.8515625" style="1" customWidth="1"/>
    <col min="11269" max="11269" width="10.8515625" style="1" customWidth="1"/>
    <col min="11270" max="11270" width="75.57421875" style="1" customWidth="1"/>
    <col min="11271" max="11271" width="5.8515625" style="1" customWidth="1"/>
    <col min="11272" max="11272" width="11.28125" style="1" customWidth="1"/>
    <col min="11273" max="11273" width="12.00390625" style="1" customWidth="1"/>
    <col min="11274" max="11274" width="10.28125" style="1" customWidth="1"/>
    <col min="11275" max="11275" width="12.00390625" style="1" customWidth="1"/>
    <col min="11276" max="11276" width="12.28125" style="1" customWidth="1"/>
    <col min="11277" max="11277" width="11.7109375" style="1" customWidth="1"/>
    <col min="11278" max="11288" width="12.140625" style="1" customWidth="1"/>
    <col min="11289" max="11338" width="12.140625" style="1" hidden="1" customWidth="1"/>
    <col min="11339" max="11520" width="12.140625" style="1" customWidth="1"/>
    <col min="11521" max="11521" width="4.00390625" style="1" customWidth="1"/>
    <col min="11522" max="11522" width="14.28125" style="1" customWidth="1"/>
    <col min="11523" max="11523" width="62.421875" style="1" customWidth="1"/>
    <col min="11524" max="11524" width="15.8515625" style="1" customWidth="1"/>
    <col min="11525" max="11525" width="10.8515625" style="1" customWidth="1"/>
    <col min="11526" max="11526" width="75.57421875" style="1" customWidth="1"/>
    <col min="11527" max="11527" width="5.8515625" style="1" customWidth="1"/>
    <col min="11528" max="11528" width="11.28125" style="1" customWidth="1"/>
    <col min="11529" max="11529" width="12.00390625" style="1" customWidth="1"/>
    <col min="11530" max="11530" width="10.28125" style="1" customWidth="1"/>
    <col min="11531" max="11531" width="12.00390625" style="1" customWidth="1"/>
    <col min="11532" max="11532" width="12.28125" style="1" customWidth="1"/>
    <col min="11533" max="11533" width="11.7109375" style="1" customWidth="1"/>
    <col min="11534" max="11544" width="12.140625" style="1" customWidth="1"/>
    <col min="11545" max="11594" width="12.140625" style="1" hidden="1" customWidth="1"/>
    <col min="11595" max="11776" width="12.140625" style="1" customWidth="1"/>
    <col min="11777" max="11777" width="4.00390625" style="1" customWidth="1"/>
    <col min="11778" max="11778" width="14.28125" style="1" customWidth="1"/>
    <col min="11779" max="11779" width="62.421875" style="1" customWidth="1"/>
    <col min="11780" max="11780" width="15.8515625" style="1" customWidth="1"/>
    <col min="11781" max="11781" width="10.8515625" style="1" customWidth="1"/>
    <col min="11782" max="11782" width="75.57421875" style="1" customWidth="1"/>
    <col min="11783" max="11783" width="5.8515625" style="1" customWidth="1"/>
    <col min="11784" max="11784" width="11.28125" style="1" customWidth="1"/>
    <col min="11785" max="11785" width="12.00390625" style="1" customWidth="1"/>
    <col min="11786" max="11786" width="10.28125" style="1" customWidth="1"/>
    <col min="11787" max="11787" width="12.00390625" style="1" customWidth="1"/>
    <col min="11788" max="11788" width="12.28125" style="1" customWidth="1"/>
    <col min="11789" max="11789" width="11.7109375" style="1" customWidth="1"/>
    <col min="11790" max="11800" width="12.140625" style="1" customWidth="1"/>
    <col min="11801" max="11850" width="12.140625" style="1" hidden="1" customWidth="1"/>
    <col min="11851" max="12032" width="12.140625" style="1" customWidth="1"/>
    <col min="12033" max="12033" width="4.00390625" style="1" customWidth="1"/>
    <col min="12034" max="12034" width="14.28125" style="1" customWidth="1"/>
    <col min="12035" max="12035" width="62.421875" style="1" customWidth="1"/>
    <col min="12036" max="12036" width="15.8515625" style="1" customWidth="1"/>
    <col min="12037" max="12037" width="10.8515625" style="1" customWidth="1"/>
    <col min="12038" max="12038" width="75.57421875" style="1" customWidth="1"/>
    <col min="12039" max="12039" width="5.8515625" style="1" customWidth="1"/>
    <col min="12040" max="12040" width="11.28125" style="1" customWidth="1"/>
    <col min="12041" max="12041" width="12.00390625" style="1" customWidth="1"/>
    <col min="12042" max="12042" width="10.28125" style="1" customWidth="1"/>
    <col min="12043" max="12043" width="12.00390625" style="1" customWidth="1"/>
    <col min="12044" max="12044" width="12.28125" style="1" customWidth="1"/>
    <col min="12045" max="12045" width="11.7109375" style="1" customWidth="1"/>
    <col min="12046" max="12056" width="12.140625" style="1" customWidth="1"/>
    <col min="12057" max="12106" width="12.140625" style="1" hidden="1" customWidth="1"/>
    <col min="12107" max="12288" width="12.140625" style="1" customWidth="1"/>
    <col min="12289" max="12289" width="4.00390625" style="1" customWidth="1"/>
    <col min="12290" max="12290" width="14.28125" style="1" customWidth="1"/>
    <col min="12291" max="12291" width="62.421875" style="1" customWidth="1"/>
    <col min="12292" max="12292" width="15.8515625" style="1" customWidth="1"/>
    <col min="12293" max="12293" width="10.8515625" style="1" customWidth="1"/>
    <col min="12294" max="12294" width="75.57421875" style="1" customWidth="1"/>
    <col min="12295" max="12295" width="5.8515625" style="1" customWidth="1"/>
    <col min="12296" max="12296" width="11.28125" style="1" customWidth="1"/>
    <col min="12297" max="12297" width="12.00390625" style="1" customWidth="1"/>
    <col min="12298" max="12298" width="10.28125" style="1" customWidth="1"/>
    <col min="12299" max="12299" width="12.00390625" style="1" customWidth="1"/>
    <col min="12300" max="12300" width="12.28125" style="1" customWidth="1"/>
    <col min="12301" max="12301" width="11.7109375" style="1" customWidth="1"/>
    <col min="12302" max="12312" width="12.140625" style="1" customWidth="1"/>
    <col min="12313" max="12362" width="12.140625" style="1" hidden="1" customWidth="1"/>
    <col min="12363" max="12544" width="12.140625" style="1" customWidth="1"/>
    <col min="12545" max="12545" width="4.00390625" style="1" customWidth="1"/>
    <col min="12546" max="12546" width="14.28125" style="1" customWidth="1"/>
    <col min="12547" max="12547" width="62.421875" style="1" customWidth="1"/>
    <col min="12548" max="12548" width="15.8515625" style="1" customWidth="1"/>
    <col min="12549" max="12549" width="10.8515625" style="1" customWidth="1"/>
    <col min="12550" max="12550" width="75.57421875" style="1" customWidth="1"/>
    <col min="12551" max="12551" width="5.8515625" style="1" customWidth="1"/>
    <col min="12552" max="12552" width="11.28125" style="1" customWidth="1"/>
    <col min="12553" max="12553" width="12.00390625" style="1" customWidth="1"/>
    <col min="12554" max="12554" width="10.28125" style="1" customWidth="1"/>
    <col min="12555" max="12555" width="12.00390625" style="1" customWidth="1"/>
    <col min="12556" max="12556" width="12.28125" style="1" customWidth="1"/>
    <col min="12557" max="12557" width="11.7109375" style="1" customWidth="1"/>
    <col min="12558" max="12568" width="12.140625" style="1" customWidth="1"/>
    <col min="12569" max="12618" width="12.140625" style="1" hidden="1" customWidth="1"/>
    <col min="12619" max="12800" width="12.140625" style="1" customWidth="1"/>
    <col min="12801" max="12801" width="4.00390625" style="1" customWidth="1"/>
    <col min="12802" max="12802" width="14.28125" style="1" customWidth="1"/>
    <col min="12803" max="12803" width="62.421875" style="1" customWidth="1"/>
    <col min="12804" max="12804" width="15.8515625" style="1" customWidth="1"/>
    <col min="12805" max="12805" width="10.8515625" style="1" customWidth="1"/>
    <col min="12806" max="12806" width="75.57421875" style="1" customWidth="1"/>
    <col min="12807" max="12807" width="5.8515625" style="1" customWidth="1"/>
    <col min="12808" max="12808" width="11.28125" style="1" customWidth="1"/>
    <col min="12809" max="12809" width="12.00390625" style="1" customWidth="1"/>
    <col min="12810" max="12810" width="10.28125" style="1" customWidth="1"/>
    <col min="12811" max="12811" width="12.00390625" style="1" customWidth="1"/>
    <col min="12812" max="12812" width="12.28125" style="1" customWidth="1"/>
    <col min="12813" max="12813" width="11.7109375" style="1" customWidth="1"/>
    <col min="12814" max="12824" width="12.140625" style="1" customWidth="1"/>
    <col min="12825" max="12874" width="12.140625" style="1" hidden="1" customWidth="1"/>
    <col min="12875" max="13056" width="12.140625" style="1" customWidth="1"/>
    <col min="13057" max="13057" width="4.00390625" style="1" customWidth="1"/>
    <col min="13058" max="13058" width="14.28125" style="1" customWidth="1"/>
    <col min="13059" max="13059" width="62.421875" style="1" customWidth="1"/>
    <col min="13060" max="13060" width="15.8515625" style="1" customWidth="1"/>
    <col min="13061" max="13061" width="10.8515625" style="1" customWidth="1"/>
    <col min="13062" max="13062" width="75.57421875" style="1" customWidth="1"/>
    <col min="13063" max="13063" width="5.8515625" style="1" customWidth="1"/>
    <col min="13064" max="13064" width="11.28125" style="1" customWidth="1"/>
    <col min="13065" max="13065" width="12.00390625" style="1" customWidth="1"/>
    <col min="13066" max="13066" width="10.28125" style="1" customWidth="1"/>
    <col min="13067" max="13067" width="12.00390625" style="1" customWidth="1"/>
    <col min="13068" max="13068" width="12.28125" style="1" customWidth="1"/>
    <col min="13069" max="13069" width="11.7109375" style="1" customWidth="1"/>
    <col min="13070" max="13080" width="12.140625" style="1" customWidth="1"/>
    <col min="13081" max="13130" width="12.140625" style="1" hidden="1" customWidth="1"/>
    <col min="13131" max="13312" width="12.140625" style="1" customWidth="1"/>
    <col min="13313" max="13313" width="4.00390625" style="1" customWidth="1"/>
    <col min="13314" max="13314" width="14.28125" style="1" customWidth="1"/>
    <col min="13315" max="13315" width="62.421875" style="1" customWidth="1"/>
    <col min="13316" max="13316" width="15.8515625" style="1" customWidth="1"/>
    <col min="13317" max="13317" width="10.8515625" style="1" customWidth="1"/>
    <col min="13318" max="13318" width="75.57421875" style="1" customWidth="1"/>
    <col min="13319" max="13319" width="5.8515625" style="1" customWidth="1"/>
    <col min="13320" max="13320" width="11.28125" style="1" customWidth="1"/>
    <col min="13321" max="13321" width="12.00390625" style="1" customWidth="1"/>
    <col min="13322" max="13322" width="10.28125" style="1" customWidth="1"/>
    <col min="13323" max="13323" width="12.00390625" style="1" customWidth="1"/>
    <col min="13324" max="13324" width="12.28125" style="1" customWidth="1"/>
    <col min="13325" max="13325" width="11.7109375" style="1" customWidth="1"/>
    <col min="13326" max="13336" width="12.140625" style="1" customWidth="1"/>
    <col min="13337" max="13386" width="12.140625" style="1" hidden="1" customWidth="1"/>
    <col min="13387" max="13568" width="12.140625" style="1" customWidth="1"/>
    <col min="13569" max="13569" width="4.00390625" style="1" customWidth="1"/>
    <col min="13570" max="13570" width="14.28125" style="1" customWidth="1"/>
    <col min="13571" max="13571" width="62.421875" style="1" customWidth="1"/>
    <col min="13572" max="13572" width="15.8515625" style="1" customWidth="1"/>
    <col min="13573" max="13573" width="10.8515625" style="1" customWidth="1"/>
    <col min="13574" max="13574" width="75.57421875" style="1" customWidth="1"/>
    <col min="13575" max="13575" width="5.8515625" style="1" customWidth="1"/>
    <col min="13576" max="13576" width="11.28125" style="1" customWidth="1"/>
    <col min="13577" max="13577" width="12.00390625" style="1" customWidth="1"/>
    <col min="13578" max="13578" width="10.28125" style="1" customWidth="1"/>
    <col min="13579" max="13579" width="12.00390625" style="1" customWidth="1"/>
    <col min="13580" max="13580" width="12.28125" style="1" customWidth="1"/>
    <col min="13581" max="13581" width="11.7109375" style="1" customWidth="1"/>
    <col min="13582" max="13592" width="12.140625" style="1" customWidth="1"/>
    <col min="13593" max="13642" width="12.140625" style="1" hidden="1" customWidth="1"/>
    <col min="13643" max="13824" width="12.140625" style="1" customWidth="1"/>
    <col min="13825" max="13825" width="4.00390625" style="1" customWidth="1"/>
    <col min="13826" max="13826" width="14.28125" style="1" customWidth="1"/>
    <col min="13827" max="13827" width="62.421875" style="1" customWidth="1"/>
    <col min="13828" max="13828" width="15.8515625" style="1" customWidth="1"/>
    <col min="13829" max="13829" width="10.8515625" style="1" customWidth="1"/>
    <col min="13830" max="13830" width="75.57421875" style="1" customWidth="1"/>
    <col min="13831" max="13831" width="5.8515625" style="1" customWidth="1"/>
    <col min="13832" max="13832" width="11.28125" style="1" customWidth="1"/>
    <col min="13833" max="13833" width="12.00390625" style="1" customWidth="1"/>
    <col min="13834" max="13834" width="10.28125" style="1" customWidth="1"/>
    <col min="13835" max="13835" width="12.00390625" style="1" customWidth="1"/>
    <col min="13836" max="13836" width="12.28125" style="1" customWidth="1"/>
    <col min="13837" max="13837" width="11.7109375" style="1" customWidth="1"/>
    <col min="13838" max="13848" width="12.140625" style="1" customWidth="1"/>
    <col min="13849" max="13898" width="12.140625" style="1" hidden="1" customWidth="1"/>
    <col min="13899" max="14080" width="12.140625" style="1" customWidth="1"/>
    <col min="14081" max="14081" width="4.00390625" style="1" customWidth="1"/>
    <col min="14082" max="14082" width="14.28125" style="1" customWidth="1"/>
    <col min="14083" max="14083" width="62.421875" style="1" customWidth="1"/>
    <col min="14084" max="14084" width="15.8515625" style="1" customWidth="1"/>
    <col min="14085" max="14085" width="10.8515625" style="1" customWidth="1"/>
    <col min="14086" max="14086" width="75.57421875" style="1" customWidth="1"/>
    <col min="14087" max="14087" width="5.8515625" style="1" customWidth="1"/>
    <col min="14088" max="14088" width="11.28125" style="1" customWidth="1"/>
    <col min="14089" max="14089" width="12.00390625" style="1" customWidth="1"/>
    <col min="14090" max="14090" width="10.28125" style="1" customWidth="1"/>
    <col min="14091" max="14091" width="12.00390625" style="1" customWidth="1"/>
    <col min="14092" max="14092" width="12.28125" style="1" customWidth="1"/>
    <col min="14093" max="14093" width="11.7109375" style="1" customWidth="1"/>
    <col min="14094" max="14104" width="12.140625" style="1" customWidth="1"/>
    <col min="14105" max="14154" width="12.140625" style="1" hidden="1" customWidth="1"/>
    <col min="14155" max="14336" width="12.140625" style="1" customWidth="1"/>
    <col min="14337" max="14337" width="4.00390625" style="1" customWidth="1"/>
    <col min="14338" max="14338" width="14.28125" style="1" customWidth="1"/>
    <col min="14339" max="14339" width="62.421875" style="1" customWidth="1"/>
    <col min="14340" max="14340" width="15.8515625" style="1" customWidth="1"/>
    <col min="14341" max="14341" width="10.8515625" style="1" customWidth="1"/>
    <col min="14342" max="14342" width="75.57421875" style="1" customWidth="1"/>
    <col min="14343" max="14343" width="5.8515625" style="1" customWidth="1"/>
    <col min="14344" max="14344" width="11.28125" style="1" customWidth="1"/>
    <col min="14345" max="14345" width="12.00390625" style="1" customWidth="1"/>
    <col min="14346" max="14346" width="10.28125" style="1" customWidth="1"/>
    <col min="14347" max="14347" width="12.00390625" style="1" customWidth="1"/>
    <col min="14348" max="14348" width="12.28125" style="1" customWidth="1"/>
    <col min="14349" max="14349" width="11.7109375" style="1" customWidth="1"/>
    <col min="14350" max="14360" width="12.140625" style="1" customWidth="1"/>
    <col min="14361" max="14410" width="12.140625" style="1" hidden="1" customWidth="1"/>
    <col min="14411" max="14592" width="12.140625" style="1" customWidth="1"/>
    <col min="14593" max="14593" width="4.00390625" style="1" customWidth="1"/>
    <col min="14594" max="14594" width="14.28125" style="1" customWidth="1"/>
    <col min="14595" max="14595" width="62.421875" style="1" customWidth="1"/>
    <col min="14596" max="14596" width="15.8515625" style="1" customWidth="1"/>
    <col min="14597" max="14597" width="10.8515625" style="1" customWidth="1"/>
    <col min="14598" max="14598" width="75.57421875" style="1" customWidth="1"/>
    <col min="14599" max="14599" width="5.8515625" style="1" customWidth="1"/>
    <col min="14600" max="14600" width="11.28125" style="1" customWidth="1"/>
    <col min="14601" max="14601" width="12.00390625" style="1" customWidth="1"/>
    <col min="14602" max="14602" width="10.28125" style="1" customWidth="1"/>
    <col min="14603" max="14603" width="12.00390625" style="1" customWidth="1"/>
    <col min="14604" max="14604" width="12.28125" style="1" customWidth="1"/>
    <col min="14605" max="14605" width="11.7109375" style="1" customWidth="1"/>
    <col min="14606" max="14616" width="12.140625" style="1" customWidth="1"/>
    <col min="14617" max="14666" width="12.140625" style="1" hidden="1" customWidth="1"/>
    <col min="14667" max="14848" width="12.140625" style="1" customWidth="1"/>
    <col min="14849" max="14849" width="4.00390625" style="1" customWidth="1"/>
    <col min="14850" max="14850" width="14.28125" style="1" customWidth="1"/>
    <col min="14851" max="14851" width="62.421875" style="1" customWidth="1"/>
    <col min="14852" max="14852" width="15.8515625" style="1" customWidth="1"/>
    <col min="14853" max="14853" width="10.8515625" style="1" customWidth="1"/>
    <col min="14854" max="14854" width="75.57421875" style="1" customWidth="1"/>
    <col min="14855" max="14855" width="5.8515625" style="1" customWidth="1"/>
    <col min="14856" max="14856" width="11.28125" style="1" customWidth="1"/>
    <col min="14857" max="14857" width="12.00390625" style="1" customWidth="1"/>
    <col min="14858" max="14858" width="10.28125" style="1" customWidth="1"/>
    <col min="14859" max="14859" width="12.00390625" style="1" customWidth="1"/>
    <col min="14860" max="14860" width="12.28125" style="1" customWidth="1"/>
    <col min="14861" max="14861" width="11.7109375" style="1" customWidth="1"/>
    <col min="14862" max="14872" width="12.140625" style="1" customWidth="1"/>
    <col min="14873" max="14922" width="12.140625" style="1" hidden="1" customWidth="1"/>
    <col min="14923" max="15104" width="12.140625" style="1" customWidth="1"/>
    <col min="15105" max="15105" width="4.00390625" style="1" customWidth="1"/>
    <col min="15106" max="15106" width="14.28125" style="1" customWidth="1"/>
    <col min="15107" max="15107" width="62.421875" style="1" customWidth="1"/>
    <col min="15108" max="15108" width="15.8515625" style="1" customWidth="1"/>
    <col min="15109" max="15109" width="10.8515625" style="1" customWidth="1"/>
    <col min="15110" max="15110" width="75.57421875" style="1" customWidth="1"/>
    <col min="15111" max="15111" width="5.8515625" style="1" customWidth="1"/>
    <col min="15112" max="15112" width="11.28125" style="1" customWidth="1"/>
    <col min="15113" max="15113" width="12.00390625" style="1" customWidth="1"/>
    <col min="15114" max="15114" width="10.28125" style="1" customWidth="1"/>
    <col min="15115" max="15115" width="12.00390625" style="1" customWidth="1"/>
    <col min="15116" max="15116" width="12.28125" style="1" customWidth="1"/>
    <col min="15117" max="15117" width="11.7109375" style="1" customWidth="1"/>
    <col min="15118" max="15128" width="12.140625" style="1" customWidth="1"/>
    <col min="15129" max="15178" width="12.140625" style="1" hidden="1" customWidth="1"/>
    <col min="15179" max="15360" width="12.140625" style="1" customWidth="1"/>
    <col min="15361" max="15361" width="4.00390625" style="1" customWidth="1"/>
    <col min="15362" max="15362" width="14.28125" style="1" customWidth="1"/>
    <col min="15363" max="15363" width="62.421875" style="1" customWidth="1"/>
    <col min="15364" max="15364" width="15.8515625" style="1" customWidth="1"/>
    <col min="15365" max="15365" width="10.8515625" style="1" customWidth="1"/>
    <col min="15366" max="15366" width="75.57421875" style="1" customWidth="1"/>
    <col min="15367" max="15367" width="5.8515625" style="1" customWidth="1"/>
    <col min="15368" max="15368" width="11.28125" style="1" customWidth="1"/>
    <col min="15369" max="15369" width="12.00390625" style="1" customWidth="1"/>
    <col min="15370" max="15370" width="10.28125" style="1" customWidth="1"/>
    <col min="15371" max="15371" width="12.00390625" style="1" customWidth="1"/>
    <col min="15372" max="15372" width="12.28125" style="1" customWidth="1"/>
    <col min="15373" max="15373" width="11.7109375" style="1" customWidth="1"/>
    <col min="15374" max="15384" width="12.140625" style="1" customWidth="1"/>
    <col min="15385" max="15434" width="12.140625" style="1" hidden="1" customWidth="1"/>
    <col min="15435" max="15616" width="12.140625" style="1" customWidth="1"/>
    <col min="15617" max="15617" width="4.00390625" style="1" customWidth="1"/>
    <col min="15618" max="15618" width="14.28125" style="1" customWidth="1"/>
    <col min="15619" max="15619" width="62.421875" style="1" customWidth="1"/>
    <col min="15620" max="15620" width="15.8515625" style="1" customWidth="1"/>
    <col min="15621" max="15621" width="10.8515625" style="1" customWidth="1"/>
    <col min="15622" max="15622" width="75.57421875" style="1" customWidth="1"/>
    <col min="15623" max="15623" width="5.8515625" style="1" customWidth="1"/>
    <col min="15624" max="15624" width="11.28125" style="1" customWidth="1"/>
    <col min="15625" max="15625" width="12.00390625" style="1" customWidth="1"/>
    <col min="15626" max="15626" width="10.28125" style="1" customWidth="1"/>
    <col min="15627" max="15627" width="12.00390625" style="1" customWidth="1"/>
    <col min="15628" max="15628" width="12.28125" style="1" customWidth="1"/>
    <col min="15629" max="15629" width="11.7109375" style="1" customWidth="1"/>
    <col min="15630" max="15640" width="12.140625" style="1" customWidth="1"/>
    <col min="15641" max="15690" width="12.140625" style="1" hidden="1" customWidth="1"/>
    <col min="15691" max="15872" width="12.140625" style="1" customWidth="1"/>
    <col min="15873" max="15873" width="4.00390625" style="1" customWidth="1"/>
    <col min="15874" max="15874" width="14.28125" style="1" customWidth="1"/>
    <col min="15875" max="15875" width="62.421875" style="1" customWidth="1"/>
    <col min="15876" max="15876" width="15.8515625" style="1" customWidth="1"/>
    <col min="15877" max="15877" width="10.8515625" style="1" customWidth="1"/>
    <col min="15878" max="15878" width="75.57421875" style="1" customWidth="1"/>
    <col min="15879" max="15879" width="5.8515625" style="1" customWidth="1"/>
    <col min="15880" max="15880" width="11.28125" style="1" customWidth="1"/>
    <col min="15881" max="15881" width="12.00390625" style="1" customWidth="1"/>
    <col min="15882" max="15882" width="10.28125" style="1" customWidth="1"/>
    <col min="15883" max="15883" width="12.00390625" style="1" customWidth="1"/>
    <col min="15884" max="15884" width="12.28125" style="1" customWidth="1"/>
    <col min="15885" max="15885" width="11.7109375" style="1" customWidth="1"/>
    <col min="15886" max="15896" width="12.140625" style="1" customWidth="1"/>
    <col min="15897" max="15946" width="12.140625" style="1" hidden="1" customWidth="1"/>
    <col min="15947" max="16128" width="12.140625" style="1" customWidth="1"/>
    <col min="16129" max="16129" width="4.00390625" style="1" customWidth="1"/>
    <col min="16130" max="16130" width="14.28125" style="1" customWidth="1"/>
    <col min="16131" max="16131" width="62.421875" style="1" customWidth="1"/>
    <col min="16132" max="16132" width="15.8515625" style="1" customWidth="1"/>
    <col min="16133" max="16133" width="10.8515625" style="1" customWidth="1"/>
    <col min="16134" max="16134" width="75.57421875" style="1" customWidth="1"/>
    <col min="16135" max="16135" width="5.8515625" style="1" customWidth="1"/>
    <col min="16136" max="16136" width="11.28125" style="1" customWidth="1"/>
    <col min="16137" max="16137" width="12.00390625" style="1" customWidth="1"/>
    <col min="16138" max="16138" width="10.28125" style="1" customWidth="1"/>
    <col min="16139" max="16139" width="12.00390625" style="1" customWidth="1"/>
    <col min="16140" max="16140" width="12.28125" style="1" customWidth="1"/>
    <col min="16141" max="16141" width="11.7109375" style="1" customWidth="1"/>
    <col min="16142" max="16152" width="12.140625" style="1" customWidth="1"/>
    <col min="16153" max="16202" width="12.140625" style="1" hidden="1" customWidth="1"/>
    <col min="16203" max="16384" width="12.140625" style="1" customWidth="1"/>
  </cols>
  <sheetData>
    <row r="1" spans="1:13" ht="54.75" customHeight="1">
      <c r="A1" s="136" t="str">
        <f>C4</f>
        <v>SO 802 – Sadové úpravy ul. Kotlářská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" customHeight="1">
      <c r="A2" s="137" t="s">
        <v>0</v>
      </c>
      <c r="B2" s="138"/>
      <c r="C2" s="139" t="s">
        <v>1</v>
      </c>
      <c r="D2" s="138" t="s">
        <v>2</v>
      </c>
      <c r="E2" s="138" t="s">
        <v>3</v>
      </c>
      <c r="F2" s="142" t="s">
        <v>4</v>
      </c>
      <c r="G2" s="142" t="s">
        <v>5</v>
      </c>
      <c r="H2" s="138"/>
      <c r="I2" s="138"/>
      <c r="J2" s="138"/>
      <c r="K2" s="138"/>
      <c r="L2" s="138"/>
      <c r="M2" s="143"/>
    </row>
    <row r="3" spans="1:13" ht="15" customHeight="1">
      <c r="A3" s="134"/>
      <c r="B3" s="115"/>
      <c r="C3" s="141"/>
      <c r="D3" s="115"/>
      <c r="E3" s="115"/>
      <c r="F3" s="115"/>
      <c r="G3" s="115"/>
      <c r="H3" s="115"/>
      <c r="I3" s="115"/>
      <c r="J3" s="115"/>
      <c r="K3" s="115"/>
      <c r="L3" s="115"/>
      <c r="M3" s="133"/>
    </row>
    <row r="4" spans="1:13" ht="15" customHeight="1">
      <c r="A4" s="129" t="s">
        <v>6</v>
      </c>
      <c r="B4" s="115"/>
      <c r="C4" s="178" t="s">
        <v>1288</v>
      </c>
      <c r="D4" s="115" t="s">
        <v>8</v>
      </c>
      <c r="E4" s="115"/>
      <c r="F4" s="114" t="s">
        <v>9</v>
      </c>
      <c r="G4" s="178" t="s">
        <v>1287</v>
      </c>
      <c r="H4" s="115"/>
      <c r="I4" s="115"/>
      <c r="J4" s="115"/>
      <c r="K4" s="115"/>
      <c r="L4" s="115"/>
      <c r="M4" s="133"/>
    </row>
    <row r="5" spans="1:13" ht="15" customHeight="1">
      <c r="A5" s="13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33"/>
    </row>
    <row r="6" spans="1:13" ht="15" customHeight="1">
      <c r="A6" s="129" t="s">
        <v>11</v>
      </c>
      <c r="B6" s="115"/>
      <c r="C6" s="114" t="s">
        <v>12</v>
      </c>
      <c r="D6" s="115" t="s">
        <v>13</v>
      </c>
      <c r="E6" s="115" t="s">
        <v>3</v>
      </c>
      <c r="F6" s="114" t="s">
        <v>14</v>
      </c>
      <c r="G6" s="115" t="s">
        <v>15</v>
      </c>
      <c r="H6" s="115"/>
      <c r="I6" s="115"/>
      <c r="J6" s="115"/>
      <c r="K6" s="115"/>
      <c r="L6" s="115"/>
      <c r="M6" s="133"/>
    </row>
    <row r="7" spans="1:13" ht="15" customHeight="1">
      <c r="A7" s="13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33"/>
    </row>
    <row r="8" spans="1:13" ht="15" customHeight="1">
      <c r="A8" s="129" t="s">
        <v>16</v>
      </c>
      <c r="B8" s="115"/>
      <c r="C8" s="114" t="s">
        <v>3</v>
      </c>
      <c r="D8" s="115" t="s">
        <v>17</v>
      </c>
      <c r="E8" s="115" t="s">
        <v>18</v>
      </c>
      <c r="F8" s="114" t="s">
        <v>19</v>
      </c>
      <c r="G8" s="178" t="s">
        <v>1287</v>
      </c>
      <c r="H8" s="115"/>
      <c r="I8" s="115"/>
      <c r="J8" s="115"/>
      <c r="K8" s="115"/>
      <c r="L8" s="115"/>
      <c r="M8" s="133"/>
    </row>
    <row r="9" spans="1:13" ht="15" customHeight="1" thickBot="1">
      <c r="A9" s="13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33"/>
    </row>
    <row r="10" spans="1:64" ht="15" customHeight="1">
      <c r="A10" s="5" t="s">
        <v>21</v>
      </c>
      <c r="B10" s="6" t="s">
        <v>22</v>
      </c>
      <c r="C10" s="145" t="s">
        <v>23</v>
      </c>
      <c r="D10" s="145"/>
      <c r="E10" s="145"/>
      <c r="F10" s="146"/>
      <c r="G10" s="6" t="s">
        <v>24</v>
      </c>
      <c r="H10" s="7" t="s">
        <v>25</v>
      </c>
      <c r="I10" s="8" t="s">
        <v>26</v>
      </c>
      <c r="J10" s="173" t="s">
        <v>27</v>
      </c>
      <c r="K10" s="174"/>
      <c r="L10" s="175"/>
      <c r="M10" s="9" t="s">
        <v>28</v>
      </c>
      <c r="BK10" s="10" t="s">
        <v>29</v>
      </c>
      <c r="BL10" s="11" t="s">
        <v>30</v>
      </c>
    </row>
    <row r="11" spans="1:62" ht="15" customHeight="1">
      <c r="A11" s="48" t="s">
        <v>3</v>
      </c>
      <c r="B11" s="4" t="s">
        <v>3</v>
      </c>
      <c r="C11" s="141" t="s">
        <v>31</v>
      </c>
      <c r="D11" s="141"/>
      <c r="E11" s="141"/>
      <c r="F11" s="176"/>
      <c r="G11" s="4" t="s">
        <v>3</v>
      </c>
      <c r="H11" s="4" t="s">
        <v>3</v>
      </c>
      <c r="I11" s="49" t="s">
        <v>32</v>
      </c>
      <c r="J11" s="50" t="s">
        <v>33</v>
      </c>
      <c r="K11" s="51" t="s">
        <v>34</v>
      </c>
      <c r="L11" s="52" t="s">
        <v>35</v>
      </c>
      <c r="M11" s="52" t="s">
        <v>36</v>
      </c>
      <c r="Z11" s="10" t="s">
        <v>37</v>
      </c>
      <c r="AA11" s="10" t="s">
        <v>38</v>
      </c>
      <c r="AB11" s="10" t="s">
        <v>39</v>
      </c>
      <c r="AC11" s="10" t="s">
        <v>40</v>
      </c>
      <c r="AD11" s="10" t="s">
        <v>41</v>
      </c>
      <c r="AE11" s="10" t="s">
        <v>42</v>
      </c>
      <c r="AF11" s="10" t="s">
        <v>43</v>
      </c>
      <c r="AG11" s="10" t="s">
        <v>44</v>
      </c>
      <c r="AH11" s="10" t="s">
        <v>45</v>
      </c>
      <c r="BH11" s="10" t="s">
        <v>46</v>
      </c>
      <c r="BI11" s="10" t="s">
        <v>47</v>
      </c>
      <c r="BJ11" s="10" t="s">
        <v>48</v>
      </c>
    </row>
    <row r="12" spans="1:47" ht="15" customHeight="1">
      <c r="A12" s="53" t="s">
        <v>49</v>
      </c>
      <c r="B12" s="54"/>
      <c r="C12" s="177" t="str">
        <f>C4</f>
        <v>SO 802 – Sadové úpravy ul. Kotlářská</v>
      </c>
      <c r="D12" s="177"/>
      <c r="E12" s="177"/>
      <c r="F12" s="177"/>
      <c r="G12" s="55" t="s">
        <v>3</v>
      </c>
      <c r="H12" s="55" t="s">
        <v>3</v>
      </c>
      <c r="I12" s="55" t="s">
        <v>3</v>
      </c>
      <c r="J12" s="56">
        <f>SUM(J13:J13)</f>
        <v>0</v>
      </c>
      <c r="K12" s="56">
        <f>SUM(K13:K13)</f>
        <v>0</v>
      </c>
      <c r="L12" s="56">
        <f>L13</f>
        <v>0</v>
      </c>
      <c r="M12" s="57" t="s">
        <v>49</v>
      </c>
      <c r="AI12" s="10" t="s">
        <v>49</v>
      </c>
      <c r="AS12" s="19">
        <f>SUM(AJ13:AJ13)</f>
        <v>0</v>
      </c>
      <c r="AT12" s="19">
        <f>SUM(AK13:AK13)</f>
        <v>0</v>
      </c>
      <c r="AU12" s="19">
        <f>SUM(AL13:AL13)</f>
        <v>0</v>
      </c>
    </row>
    <row r="13" spans="1:64" ht="15" customHeight="1">
      <c r="A13" s="58" t="s">
        <v>52</v>
      </c>
      <c r="B13" s="3"/>
      <c r="C13" s="115" t="str">
        <f>C4</f>
        <v>SO 802 – Sadové úpravy ul. Kotlářská</v>
      </c>
      <c r="D13" s="115"/>
      <c r="E13" s="115"/>
      <c r="F13" s="115"/>
      <c r="G13" s="3" t="s">
        <v>1185</v>
      </c>
      <c r="H13" s="20">
        <v>1</v>
      </c>
      <c r="I13" s="106"/>
      <c r="J13" s="20">
        <f>H13*AO13</f>
        <v>0</v>
      </c>
      <c r="K13" s="20">
        <f>H13*AP13</f>
        <v>0</v>
      </c>
      <c r="L13" s="20">
        <f>H13*I13</f>
        <v>0</v>
      </c>
      <c r="M13" s="59"/>
      <c r="Z13" s="20">
        <f>IF(AQ13="5",BJ13,0)</f>
        <v>0</v>
      </c>
      <c r="AB13" s="20">
        <f>IF(AQ13="1",BH13,0)</f>
        <v>0</v>
      </c>
      <c r="AC13" s="20">
        <f>IF(AQ13="1",BI13,0)</f>
        <v>0</v>
      </c>
      <c r="AD13" s="20">
        <f>IF(AQ13="7",BH13,0)</f>
        <v>0</v>
      </c>
      <c r="AE13" s="20">
        <f>IF(AQ13="7",BI13,0)</f>
        <v>0</v>
      </c>
      <c r="AF13" s="20">
        <f>IF(AQ13="2",BH13,0)</f>
        <v>0</v>
      </c>
      <c r="AG13" s="20">
        <f>IF(AQ13="2",BI13,0)</f>
        <v>0</v>
      </c>
      <c r="AH13" s="20">
        <f>IF(AQ13="0",BJ13,0)</f>
        <v>0</v>
      </c>
      <c r="AI13" s="10" t="s">
        <v>49</v>
      </c>
      <c r="AJ13" s="20">
        <f>IF(AN13=0,L13,0)</f>
        <v>0</v>
      </c>
      <c r="AK13" s="20">
        <f>IF(AN13=15,L13,0)</f>
        <v>0</v>
      </c>
      <c r="AL13" s="20">
        <f>IF(AN13=21,L13,0)</f>
        <v>0</v>
      </c>
      <c r="AN13" s="20">
        <v>21</v>
      </c>
      <c r="AO13" s="20">
        <f>I13*0</f>
        <v>0</v>
      </c>
      <c r="AP13" s="20">
        <f>I13*(1-0)</f>
        <v>0</v>
      </c>
      <c r="AQ13" s="21" t="s">
        <v>52</v>
      </c>
      <c r="AV13" s="20">
        <f>AW13+AX13</f>
        <v>0</v>
      </c>
      <c r="AW13" s="20">
        <f>H13*AO13</f>
        <v>0</v>
      </c>
      <c r="AX13" s="20">
        <f>H13*AP13</f>
        <v>0</v>
      </c>
      <c r="AY13" s="21" t="s">
        <v>56</v>
      </c>
      <c r="AZ13" s="21" t="s">
        <v>57</v>
      </c>
      <c r="BA13" s="10" t="s">
        <v>58</v>
      </c>
      <c r="BC13" s="20">
        <f>AW13+AX13</f>
        <v>0</v>
      </c>
      <c r="BD13" s="20">
        <f>I13/(100-BE13)*100</f>
        <v>0</v>
      </c>
      <c r="BE13" s="20">
        <v>0</v>
      </c>
      <c r="BF13" s="20">
        <f>13</f>
        <v>13</v>
      </c>
      <c r="BH13" s="20">
        <f>H13*AO13</f>
        <v>0</v>
      </c>
      <c r="BI13" s="20">
        <f>H13*AP13</f>
        <v>0</v>
      </c>
      <c r="BJ13" s="20">
        <f>H13*I13</f>
        <v>0</v>
      </c>
      <c r="BK13" s="20"/>
      <c r="BL13" s="20">
        <v>11</v>
      </c>
    </row>
    <row r="14" spans="1:13" ht="15" customHeight="1">
      <c r="A14" s="60"/>
      <c r="B14" s="61"/>
      <c r="C14" s="61"/>
      <c r="D14" s="61"/>
      <c r="E14" s="61"/>
      <c r="F14" s="61"/>
      <c r="G14" s="61"/>
      <c r="H14" s="61"/>
      <c r="I14" s="61"/>
      <c r="J14" s="172" t="s">
        <v>1081</v>
      </c>
      <c r="K14" s="172"/>
      <c r="L14" s="62">
        <f>L13</f>
        <v>0</v>
      </c>
      <c r="M14" s="63"/>
    </row>
  </sheetData>
  <sheetProtection algorithmName="SHA-512" hashValue="GTkd7QDWMXG6634vrri3htOJqtYIGIA+JjGbHPouWaQAb2XW2vD9qyzakzYxLABfFhDRBpdpN1BLjvDSN+MWdg==" saltValue="VC4/Fg5Wz2pcemBAqnKD2Q==" spinCount="100000" sheet="1" objects="1" scenarios="1"/>
  <mergeCells count="31">
    <mergeCell ref="A1:M1"/>
    <mergeCell ref="A2:B3"/>
    <mergeCell ref="C2:C3"/>
    <mergeCell ref="D2:D3"/>
    <mergeCell ref="E2:E3"/>
    <mergeCell ref="F2:F3"/>
    <mergeCell ref="G2:M3"/>
    <mergeCell ref="G6:M7"/>
    <mergeCell ref="A4:B5"/>
    <mergeCell ref="C4:C5"/>
    <mergeCell ref="D4:D5"/>
    <mergeCell ref="E4:E5"/>
    <mergeCell ref="F4:F5"/>
    <mergeCell ref="G4:M5"/>
    <mergeCell ref="A6:B7"/>
    <mergeCell ref="C6:C7"/>
    <mergeCell ref="D6:D7"/>
    <mergeCell ref="E6:E7"/>
    <mergeCell ref="F6:F7"/>
    <mergeCell ref="J14:K14"/>
    <mergeCell ref="A8:B9"/>
    <mergeCell ref="C8:C9"/>
    <mergeCell ref="D8:D9"/>
    <mergeCell ref="E8:E9"/>
    <mergeCell ref="F8:F9"/>
    <mergeCell ref="G8:M9"/>
    <mergeCell ref="C10:F10"/>
    <mergeCell ref="J10:L10"/>
    <mergeCell ref="C11:F11"/>
    <mergeCell ref="C12:F12"/>
    <mergeCell ref="C13:F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"/>
  <sheetViews>
    <sheetView workbookViewId="0" topLeftCell="A15">
      <selection activeCell="C31" sqref="C31:I31"/>
    </sheetView>
  </sheetViews>
  <sheetFormatPr defaultColWidth="12.140625" defaultRowHeight="15"/>
  <cols>
    <col min="1" max="1" width="4.00390625" style="1" customWidth="1"/>
    <col min="2" max="2" width="17.8515625" style="1" customWidth="1"/>
    <col min="3" max="3" width="1.421875" style="1" customWidth="1"/>
    <col min="4" max="4" width="76.57421875" style="1" customWidth="1"/>
    <col min="5" max="9" width="12.140625" style="1" customWidth="1"/>
    <col min="10" max="10" width="6.7109375" style="1" customWidth="1"/>
    <col min="11" max="11" width="12.8515625" style="1" customWidth="1"/>
    <col min="12" max="12" width="12.00390625" style="1" customWidth="1"/>
    <col min="13" max="13" width="15.7109375" style="1" customWidth="1"/>
    <col min="14" max="24" width="12.140625" style="1" customWidth="1"/>
    <col min="25" max="74" width="12.140625" style="1" hidden="1" customWidth="1"/>
    <col min="75" max="256" width="12.140625" style="1" customWidth="1"/>
    <col min="257" max="257" width="4.00390625" style="1" customWidth="1"/>
    <col min="258" max="258" width="17.8515625" style="1" customWidth="1"/>
    <col min="259" max="259" width="1.421875" style="1" customWidth="1"/>
    <col min="260" max="260" width="76.57421875" style="1" customWidth="1"/>
    <col min="261" max="265" width="12.140625" style="1" customWidth="1"/>
    <col min="266" max="266" width="6.7109375" style="1" customWidth="1"/>
    <col min="267" max="267" width="12.8515625" style="1" customWidth="1"/>
    <col min="268" max="268" width="12.00390625" style="1" customWidth="1"/>
    <col min="269" max="269" width="15.7109375" style="1" customWidth="1"/>
    <col min="270" max="280" width="12.140625" style="1" customWidth="1"/>
    <col min="281" max="330" width="12.140625" style="1" hidden="1" customWidth="1"/>
    <col min="331" max="512" width="12.140625" style="1" customWidth="1"/>
    <col min="513" max="513" width="4.00390625" style="1" customWidth="1"/>
    <col min="514" max="514" width="17.8515625" style="1" customWidth="1"/>
    <col min="515" max="515" width="1.421875" style="1" customWidth="1"/>
    <col min="516" max="516" width="76.57421875" style="1" customWidth="1"/>
    <col min="517" max="521" width="12.140625" style="1" customWidth="1"/>
    <col min="522" max="522" width="6.7109375" style="1" customWidth="1"/>
    <col min="523" max="523" width="12.8515625" style="1" customWidth="1"/>
    <col min="524" max="524" width="12.00390625" style="1" customWidth="1"/>
    <col min="525" max="525" width="15.7109375" style="1" customWidth="1"/>
    <col min="526" max="536" width="12.140625" style="1" customWidth="1"/>
    <col min="537" max="586" width="12.140625" style="1" hidden="1" customWidth="1"/>
    <col min="587" max="768" width="12.140625" style="1" customWidth="1"/>
    <col min="769" max="769" width="4.00390625" style="1" customWidth="1"/>
    <col min="770" max="770" width="17.8515625" style="1" customWidth="1"/>
    <col min="771" max="771" width="1.421875" style="1" customWidth="1"/>
    <col min="772" max="772" width="76.57421875" style="1" customWidth="1"/>
    <col min="773" max="777" width="12.140625" style="1" customWidth="1"/>
    <col min="778" max="778" width="6.7109375" style="1" customWidth="1"/>
    <col min="779" max="779" width="12.8515625" style="1" customWidth="1"/>
    <col min="780" max="780" width="12.00390625" style="1" customWidth="1"/>
    <col min="781" max="781" width="15.7109375" style="1" customWidth="1"/>
    <col min="782" max="792" width="12.140625" style="1" customWidth="1"/>
    <col min="793" max="842" width="12.140625" style="1" hidden="1" customWidth="1"/>
    <col min="843" max="1024" width="12.140625" style="1" customWidth="1"/>
    <col min="1025" max="1025" width="4.00390625" style="1" customWidth="1"/>
    <col min="1026" max="1026" width="17.8515625" style="1" customWidth="1"/>
    <col min="1027" max="1027" width="1.421875" style="1" customWidth="1"/>
    <col min="1028" max="1028" width="76.57421875" style="1" customWidth="1"/>
    <col min="1029" max="1033" width="12.140625" style="1" customWidth="1"/>
    <col min="1034" max="1034" width="6.7109375" style="1" customWidth="1"/>
    <col min="1035" max="1035" width="12.8515625" style="1" customWidth="1"/>
    <col min="1036" max="1036" width="12.00390625" style="1" customWidth="1"/>
    <col min="1037" max="1037" width="15.7109375" style="1" customWidth="1"/>
    <col min="1038" max="1048" width="12.140625" style="1" customWidth="1"/>
    <col min="1049" max="1098" width="12.140625" style="1" hidden="1" customWidth="1"/>
    <col min="1099" max="1280" width="12.140625" style="1" customWidth="1"/>
    <col min="1281" max="1281" width="4.00390625" style="1" customWidth="1"/>
    <col min="1282" max="1282" width="17.8515625" style="1" customWidth="1"/>
    <col min="1283" max="1283" width="1.421875" style="1" customWidth="1"/>
    <col min="1284" max="1284" width="76.57421875" style="1" customWidth="1"/>
    <col min="1285" max="1289" width="12.140625" style="1" customWidth="1"/>
    <col min="1290" max="1290" width="6.7109375" style="1" customWidth="1"/>
    <col min="1291" max="1291" width="12.8515625" style="1" customWidth="1"/>
    <col min="1292" max="1292" width="12.00390625" style="1" customWidth="1"/>
    <col min="1293" max="1293" width="15.7109375" style="1" customWidth="1"/>
    <col min="1294" max="1304" width="12.140625" style="1" customWidth="1"/>
    <col min="1305" max="1354" width="12.140625" style="1" hidden="1" customWidth="1"/>
    <col min="1355" max="1536" width="12.140625" style="1" customWidth="1"/>
    <col min="1537" max="1537" width="4.00390625" style="1" customWidth="1"/>
    <col min="1538" max="1538" width="17.8515625" style="1" customWidth="1"/>
    <col min="1539" max="1539" width="1.421875" style="1" customWidth="1"/>
    <col min="1540" max="1540" width="76.57421875" style="1" customWidth="1"/>
    <col min="1541" max="1545" width="12.140625" style="1" customWidth="1"/>
    <col min="1546" max="1546" width="6.7109375" style="1" customWidth="1"/>
    <col min="1547" max="1547" width="12.8515625" style="1" customWidth="1"/>
    <col min="1548" max="1548" width="12.00390625" style="1" customWidth="1"/>
    <col min="1549" max="1549" width="15.7109375" style="1" customWidth="1"/>
    <col min="1550" max="1560" width="12.140625" style="1" customWidth="1"/>
    <col min="1561" max="1610" width="12.140625" style="1" hidden="1" customWidth="1"/>
    <col min="1611" max="1792" width="12.140625" style="1" customWidth="1"/>
    <col min="1793" max="1793" width="4.00390625" style="1" customWidth="1"/>
    <col min="1794" max="1794" width="17.8515625" style="1" customWidth="1"/>
    <col min="1795" max="1795" width="1.421875" style="1" customWidth="1"/>
    <col min="1796" max="1796" width="76.57421875" style="1" customWidth="1"/>
    <col min="1797" max="1801" width="12.140625" style="1" customWidth="1"/>
    <col min="1802" max="1802" width="6.7109375" style="1" customWidth="1"/>
    <col min="1803" max="1803" width="12.8515625" style="1" customWidth="1"/>
    <col min="1804" max="1804" width="12.00390625" style="1" customWidth="1"/>
    <col min="1805" max="1805" width="15.7109375" style="1" customWidth="1"/>
    <col min="1806" max="1816" width="12.140625" style="1" customWidth="1"/>
    <col min="1817" max="1866" width="12.140625" style="1" hidden="1" customWidth="1"/>
    <col min="1867" max="2048" width="12.140625" style="1" customWidth="1"/>
    <col min="2049" max="2049" width="4.00390625" style="1" customWidth="1"/>
    <col min="2050" max="2050" width="17.8515625" style="1" customWidth="1"/>
    <col min="2051" max="2051" width="1.421875" style="1" customWidth="1"/>
    <col min="2052" max="2052" width="76.57421875" style="1" customWidth="1"/>
    <col min="2053" max="2057" width="12.140625" style="1" customWidth="1"/>
    <col min="2058" max="2058" width="6.7109375" style="1" customWidth="1"/>
    <col min="2059" max="2059" width="12.8515625" style="1" customWidth="1"/>
    <col min="2060" max="2060" width="12.00390625" style="1" customWidth="1"/>
    <col min="2061" max="2061" width="15.7109375" style="1" customWidth="1"/>
    <col min="2062" max="2072" width="12.140625" style="1" customWidth="1"/>
    <col min="2073" max="2122" width="12.140625" style="1" hidden="1" customWidth="1"/>
    <col min="2123" max="2304" width="12.140625" style="1" customWidth="1"/>
    <col min="2305" max="2305" width="4.00390625" style="1" customWidth="1"/>
    <col min="2306" max="2306" width="17.8515625" style="1" customWidth="1"/>
    <col min="2307" max="2307" width="1.421875" style="1" customWidth="1"/>
    <col min="2308" max="2308" width="76.57421875" style="1" customWidth="1"/>
    <col min="2309" max="2313" width="12.140625" style="1" customWidth="1"/>
    <col min="2314" max="2314" width="6.7109375" style="1" customWidth="1"/>
    <col min="2315" max="2315" width="12.8515625" style="1" customWidth="1"/>
    <col min="2316" max="2316" width="12.00390625" style="1" customWidth="1"/>
    <col min="2317" max="2317" width="15.7109375" style="1" customWidth="1"/>
    <col min="2318" max="2328" width="12.140625" style="1" customWidth="1"/>
    <col min="2329" max="2378" width="12.140625" style="1" hidden="1" customWidth="1"/>
    <col min="2379" max="2560" width="12.140625" style="1" customWidth="1"/>
    <col min="2561" max="2561" width="4.00390625" style="1" customWidth="1"/>
    <col min="2562" max="2562" width="17.8515625" style="1" customWidth="1"/>
    <col min="2563" max="2563" width="1.421875" style="1" customWidth="1"/>
    <col min="2564" max="2564" width="76.57421875" style="1" customWidth="1"/>
    <col min="2565" max="2569" width="12.140625" style="1" customWidth="1"/>
    <col min="2570" max="2570" width="6.7109375" style="1" customWidth="1"/>
    <col min="2571" max="2571" width="12.8515625" style="1" customWidth="1"/>
    <col min="2572" max="2572" width="12.00390625" style="1" customWidth="1"/>
    <col min="2573" max="2573" width="15.7109375" style="1" customWidth="1"/>
    <col min="2574" max="2584" width="12.140625" style="1" customWidth="1"/>
    <col min="2585" max="2634" width="12.140625" style="1" hidden="1" customWidth="1"/>
    <col min="2635" max="2816" width="12.140625" style="1" customWidth="1"/>
    <col min="2817" max="2817" width="4.00390625" style="1" customWidth="1"/>
    <col min="2818" max="2818" width="17.8515625" style="1" customWidth="1"/>
    <col min="2819" max="2819" width="1.421875" style="1" customWidth="1"/>
    <col min="2820" max="2820" width="76.57421875" style="1" customWidth="1"/>
    <col min="2821" max="2825" width="12.140625" style="1" customWidth="1"/>
    <col min="2826" max="2826" width="6.7109375" style="1" customWidth="1"/>
    <col min="2827" max="2827" width="12.8515625" style="1" customWidth="1"/>
    <col min="2828" max="2828" width="12.00390625" style="1" customWidth="1"/>
    <col min="2829" max="2829" width="15.7109375" style="1" customWidth="1"/>
    <col min="2830" max="2840" width="12.140625" style="1" customWidth="1"/>
    <col min="2841" max="2890" width="12.140625" style="1" hidden="1" customWidth="1"/>
    <col min="2891" max="3072" width="12.140625" style="1" customWidth="1"/>
    <col min="3073" max="3073" width="4.00390625" style="1" customWidth="1"/>
    <col min="3074" max="3074" width="17.8515625" style="1" customWidth="1"/>
    <col min="3075" max="3075" width="1.421875" style="1" customWidth="1"/>
    <col min="3076" max="3076" width="76.57421875" style="1" customWidth="1"/>
    <col min="3077" max="3081" width="12.140625" style="1" customWidth="1"/>
    <col min="3082" max="3082" width="6.7109375" style="1" customWidth="1"/>
    <col min="3083" max="3083" width="12.8515625" style="1" customWidth="1"/>
    <col min="3084" max="3084" width="12.00390625" style="1" customWidth="1"/>
    <col min="3085" max="3085" width="15.7109375" style="1" customWidth="1"/>
    <col min="3086" max="3096" width="12.140625" style="1" customWidth="1"/>
    <col min="3097" max="3146" width="12.140625" style="1" hidden="1" customWidth="1"/>
    <col min="3147" max="3328" width="12.140625" style="1" customWidth="1"/>
    <col min="3329" max="3329" width="4.00390625" style="1" customWidth="1"/>
    <col min="3330" max="3330" width="17.8515625" style="1" customWidth="1"/>
    <col min="3331" max="3331" width="1.421875" style="1" customWidth="1"/>
    <col min="3332" max="3332" width="76.57421875" style="1" customWidth="1"/>
    <col min="3333" max="3337" width="12.140625" style="1" customWidth="1"/>
    <col min="3338" max="3338" width="6.7109375" style="1" customWidth="1"/>
    <col min="3339" max="3339" width="12.8515625" style="1" customWidth="1"/>
    <col min="3340" max="3340" width="12.00390625" style="1" customWidth="1"/>
    <col min="3341" max="3341" width="15.7109375" style="1" customWidth="1"/>
    <col min="3342" max="3352" width="12.140625" style="1" customWidth="1"/>
    <col min="3353" max="3402" width="12.140625" style="1" hidden="1" customWidth="1"/>
    <col min="3403" max="3584" width="12.140625" style="1" customWidth="1"/>
    <col min="3585" max="3585" width="4.00390625" style="1" customWidth="1"/>
    <col min="3586" max="3586" width="17.8515625" style="1" customWidth="1"/>
    <col min="3587" max="3587" width="1.421875" style="1" customWidth="1"/>
    <col min="3588" max="3588" width="76.57421875" style="1" customWidth="1"/>
    <col min="3589" max="3593" width="12.140625" style="1" customWidth="1"/>
    <col min="3594" max="3594" width="6.7109375" style="1" customWidth="1"/>
    <col min="3595" max="3595" width="12.8515625" style="1" customWidth="1"/>
    <col min="3596" max="3596" width="12.00390625" style="1" customWidth="1"/>
    <col min="3597" max="3597" width="15.7109375" style="1" customWidth="1"/>
    <col min="3598" max="3608" width="12.140625" style="1" customWidth="1"/>
    <col min="3609" max="3658" width="12.140625" style="1" hidden="1" customWidth="1"/>
    <col min="3659" max="3840" width="12.140625" style="1" customWidth="1"/>
    <col min="3841" max="3841" width="4.00390625" style="1" customWidth="1"/>
    <col min="3842" max="3842" width="17.8515625" style="1" customWidth="1"/>
    <col min="3843" max="3843" width="1.421875" style="1" customWidth="1"/>
    <col min="3844" max="3844" width="76.57421875" style="1" customWidth="1"/>
    <col min="3845" max="3849" width="12.140625" style="1" customWidth="1"/>
    <col min="3850" max="3850" width="6.7109375" style="1" customWidth="1"/>
    <col min="3851" max="3851" width="12.8515625" style="1" customWidth="1"/>
    <col min="3852" max="3852" width="12.00390625" style="1" customWidth="1"/>
    <col min="3853" max="3853" width="15.7109375" style="1" customWidth="1"/>
    <col min="3854" max="3864" width="12.140625" style="1" customWidth="1"/>
    <col min="3865" max="3914" width="12.140625" style="1" hidden="1" customWidth="1"/>
    <col min="3915" max="4096" width="12.140625" style="1" customWidth="1"/>
    <col min="4097" max="4097" width="4.00390625" style="1" customWidth="1"/>
    <col min="4098" max="4098" width="17.8515625" style="1" customWidth="1"/>
    <col min="4099" max="4099" width="1.421875" style="1" customWidth="1"/>
    <col min="4100" max="4100" width="76.57421875" style="1" customWidth="1"/>
    <col min="4101" max="4105" width="12.140625" style="1" customWidth="1"/>
    <col min="4106" max="4106" width="6.7109375" style="1" customWidth="1"/>
    <col min="4107" max="4107" width="12.8515625" style="1" customWidth="1"/>
    <col min="4108" max="4108" width="12.00390625" style="1" customWidth="1"/>
    <col min="4109" max="4109" width="15.7109375" style="1" customWidth="1"/>
    <col min="4110" max="4120" width="12.140625" style="1" customWidth="1"/>
    <col min="4121" max="4170" width="12.140625" style="1" hidden="1" customWidth="1"/>
    <col min="4171" max="4352" width="12.140625" style="1" customWidth="1"/>
    <col min="4353" max="4353" width="4.00390625" style="1" customWidth="1"/>
    <col min="4354" max="4354" width="17.8515625" style="1" customWidth="1"/>
    <col min="4355" max="4355" width="1.421875" style="1" customWidth="1"/>
    <col min="4356" max="4356" width="76.57421875" style="1" customWidth="1"/>
    <col min="4357" max="4361" width="12.140625" style="1" customWidth="1"/>
    <col min="4362" max="4362" width="6.7109375" style="1" customWidth="1"/>
    <col min="4363" max="4363" width="12.8515625" style="1" customWidth="1"/>
    <col min="4364" max="4364" width="12.00390625" style="1" customWidth="1"/>
    <col min="4365" max="4365" width="15.7109375" style="1" customWidth="1"/>
    <col min="4366" max="4376" width="12.140625" style="1" customWidth="1"/>
    <col min="4377" max="4426" width="12.140625" style="1" hidden="1" customWidth="1"/>
    <col min="4427" max="4608" width="12.140625" style="1" customWidth="1"/>
    <col min="4609" max="4609" width="4.00390625" style="1" customWidth="1"/>
    <col min="4610" max="4610" width="17.8515625" style="1" customWidth="1"/>
    <col min="4611" max="4611" width="1.421875" style="1" customWidth="1"/>
    <col min="4612" max="4612" width="76.57421875" style="1" customWidth="1"/>
    <col min="4613" max="4617" width="12.140625" style="1" customWidth="1"/>
    <col min="4618" max="4618" width="6.7109375" style="1" customWidth="1"/>
    <col min="4619" max="4619" width="12.8515625" style="1" customWidth="1"/>
    <col min="4620" max="4620" width="12.00390625" style="1" customWidth="1"/>
    <col min="4621" max="4621" width="15.7109375" style="1" customWidth="1"/>
    <col min="4622" max="4632" width="12.140625" style="1" customWidth="1"/>
    <col min="4633" max="4682" width="12.140625" style="1" hidden="1" customWidth="1"/>
    <col min="4683" max="4864" width="12.140625" style="1" customWidth="1"/>
    <col min="4865" max="4865" width="4.00390625" style="1" customWidth="1"/>
    <col min="4866" max="4866" width="17.8515625" style="1" customWidth="1"/>
    <col min="4867" max="4867" width="1.421875" style="1" customWidth="1"/>
    <col min="4868" max="4868" width="76.57421875" style="1" customWidth="1"/>
    <col min="4869" max="4873" width="12.140625" style="1" customWidth="1"/>
    <col min="4874" max="4874" width="6.7109375" style="1" customWidth="1"/>
    <col min="4875" max="4875" width="12.8515625" style="1" customWidth="1"/>
    <col min="4876" max="4876" width="12.00390625" style="1" customWidth="1"/>
    <col min="4877" max="4877" width="15.7109375" style="1" customWidth="1"/>
    <col min="4878" max="4888" width="12.140625" style="1" customWidth="1"/>
    <col min="4889" max="4938" width="12.140625" style="1" hidden="1" customWidth="1"/>
    <col min="4939" max="5120" width="12.140625" style="1" customWidth="1"/>
    <col min="5121" max="5121" width="4.00390625" style="1" customWidth="1"/>
    <col min="5122" max="5122" width="17.8515625" style="1" customWidth="1"/>
    <col min="5123" max="5123" width="1.421875" style="1" customWidth="1"/>
    <col min="5124" max="5124" width="76.57421875" style="1" customWidth="1"/>
    <col min="5125" max="5129" width="12.140625" style="1" customWidth="1"/>
    <col min="5130" max="5130" width="6.7109375" style="1" customWidth="1"/>
    <col min="5131" max="5131" width="12.8515625" style="1" customWidth="1"/>
    <col min="5132" max="5132" width="12.00390625" style="1" customWidth="1"/>
    <col min="5133" max="5133" width="15.7109375" style="1" customWidth="1"/>
    <col min="5134" max="5144" width="12.140625" style="1" customWidth="1"/>
    <col min="5145" max="5194" width="12.140625" style="1" hidden="1" customWidth="1"/>
    <col min="5195" max="5376" width="12.140625" style="1" customWidth="1"/>
    <col min="5377" max="5377" width="4.00390625" style="1" customWidth="1"/>
    <col min="5378" max="5378" width="17.8515625" style="1" customWidth="1"/>
    <col min="5379" max="5379" width="1.421875" style="1" customWidth="1"/>
    <col min="5380" max="5380" width="76.57421875" style="1" customWidth="1"/>
    <col min="5381" max="5385" width="12.140625" style="1" customWidth="1"/>
    <col min="5386" max="5386" width="6.7109375" style="1" customWidth="1"/>
    <col min="5387" max="5387" width="12.8515625" style="1" customWidth="1"/>
    <col min="5388" max="5388" width="12.00390625" style="1" customWidth="1"/>
    <col min="5389" max="5389" width="15.7109375" style="1" customWidth="1"/>
    <col min="5390" max="5400" width="12.140625" style="1" customWidth="1"/>
    <col min="5401" max="5450" width="12.140625" style="1" hidden="1" customWidth="1"/>
    <col min="5451" max="5632" width="12.140625" style="1" customWidth="1"/>
    <col min="5633" max="5633" width="4.00390625" style="1" customWidth="1"/>
    <col min="5634" max="5634" width="17.8515625" style="1" customWidth="1"/>
    <col min="5635" max="5635" width="1.421875" style="1" customWidth="1"/>
    <col min="5636" max="5636" width="76.57421875" style="1" customWidth="1"/>
    <col min="5637" max="5641" width="12.140625" style="1" customWidth="1"/>
    <col min="5642" max="5642" width="6.7109375" style="1" customWidth="1"/>
    <col min="5643" max="5643" width="12.8515625" style="1" customWidth="1"/>
    <col min="5644" max="5644" width="12.00390625" style="1" customWidth="1"/>
    <col min="5645" max="5645" width="15.7109375" style="1" customWidth="1"/>
    <col min="5646" max="5656" width="12.140625" style="1" customWidth="1"/>
    <col min="5657" max="5706" width="12.140625" style="1" hidden="1" customWidth="1"/>
    <col min="5707" max="5888" width="12.140625" style="1" customWidth="1"/>
    <col min="5889" max="5889" width="4.00390625" style="1" customWidth="1"/>
    <col min="5890" max="5890" width="17.8515625" style="1" customWidth="1"/>
    <col min="5891" max="5891" width="1.421875" style="1" customWidth="1"/>
    <col min="5892" max="5892" width="76.57421875" style="1" customWidth="1"/>
    <col min="5893" max="5897" width="12.140625" style="1" customWidth="1"/>
    <col min="5898" max="5898" width="6.7109375" style="1" customWidth="1"/>
    <col min="5899" max="5899" width="12.8515625" style="1" customWidth="1"/>
    <col min="5900" max="5900" width="12.00390625" style="1" customWidth="1"/>
    <col min="5901" max="5901" width="15.7109375" style="1" customWidth="1"/>
    <col min="5902" max="5912" width="12.140625" style="1" customWidth="1"/>
    <col min="5913" max="5962" width="12.140625" style="1" hidden="1" customWidth="1"/>
    <col min="5963" max="6144" width="12.140625" style="1" customWidth="1"/>
    <col min="6145" max="6145" width="4.00390625" style="1" customWidth="1"/>
    <col min="6146" max="6146" width="17.8515625" style="1" customWidth="1"/>
    <col min="6147" max="6147" width="1.421875" style="1" customWidth="1"/>
    <col min="6148" max="6148" width="76.57421875" style="1" customWidth="1"/>
    <col min="6149" max="6153" width="12.140625" style="1" customWidth="1"/>
    <col min="6154" max="6154" width="6.7109375" style="1" customWidth="1"/>
    <col min="6155" max="6155" width="12.8515625" style="1" customWidth="1"/>
    <col min="6156" max="6156" width="12.00390625" style="1" customWidth="1"/>
    <col min="6157" max="6157" width="15.7109375" style="1" customWidth="1"/>
    <col min="6158" max="6168" width="12.140625" style="1" customWidth="1"/>
    <col min="6169" max="6218" width="12.140625" style="1" hidden="1" customWidth="1"/>
    <col min="6219" max="6400" width="12.140625" style="1" customWidth="1"/>
    <col min="6401" max="6401" width="4.00390625" style="1" customWidth="1"/>
    <col min="6402" max="6402" width="17.8515625" style="1" customWidth="1"/>
    <col min="6403" max="6403" width="1.421875" style="1" customWidth="1"/>
    <col min="6404" max="6404" width="76.57421875" style="1" customWidth="1"/>
    <col min="6405" max="6409" width="12.140625" style="1" customWidth="1"/>
    <col min="6410" max="6410" width="6.7109375" style="1" customWidth="1"/>
    <col min="6411" max="6411" width="12.8515625" style="1" customWidth="1"/>
    <col min="6412" max="6412" width="12.00390625" style="1" customWidth="1"/>
    <col min="6413" max="6413" width="15.7109375" style="1" customWidth="1"/>
    <col min="6414" max="6424" width="12.140625" style="1" customWidth="1"/>
    <col min="6425" max="6474" width="12.140625" style="1" hidden="1" customWidth="1"/>
    <col min="6475" max="6656" width="12.140625" style="1" customWidth="1"/>
    <col min="6657" max="6657" width="4.00390625" style="1" customWidth="1"/>
    <col min="6658" max="6658" width="17.8515625" style="1" customWidth="1"/>
    <col min="6659" max="6659" width="1.421875" style="1" customWidth="1"/>
    <col min="6660" max="6660" width="76.57421875" style="1" customWidth="1"/>
    <col min="6661" max="6665" width="12.140625" style="1" customWidth="1"/>
    <col min="6666" max="6666" width="6.7109375" style="1" customWidth="1"/>
    <col min="6667" max="6667" width="12.8515625" style="1" customWidth="1"/>
    <col min="6668" max="6668" width="12.00390625" style="1" customWidth="1"/>
    <col min="6669" max="6669" width="15.7109375" style="1" customWidth="1"/>
    <col min="6670" max="6680" width="12.140625" style="1" customWidth="1"/>
    <col min="6681" max="6730" width="12.140625" style="1" hidden="1" customWidth="1"/>
    <col min="6731" max="6912" width="12.140625" style="1" customWidth="1"/>
    <col min="6913" max="6913" width="4.00390625" style="1" customWidth="1"/>
    <col min="6914" max="6914" width="17.8515625" style="1" customWidth="1"/>
    <col min="6915" max="6915" width="1.421875" style="1" customWidth="1"/>
    <col min="6916" max="6916" width="76.57421875" style="1" customWidth="1"/>
    <col min="6917" max="6921" width="12.140625" style="1" customWidth="1"/>
    <col min="6922" max="6922" width="6.7109375" style="1" customWidth="1"/>
    <col min="6923" max="6923" width="12.8515625" style="1" customWidth="1"/>
    <col min="6924" max="6924" width="12.00390625" style="1" customWidth="1"/>
    <col min="6925" max="6925" width="15.7109375" style="1" customWidth="1"/>
    <col min="6926" max="6936" width="12.140625" style="1" customWidth="1"/>
    <col min="6937" max="6986" width="12.140625" style="1" hidden="1" customWidth="1"/>
    <col min="6987" max="7168" width="12.140625" style="1" customWidth="1"/>
    <col min="7169" max="7169" width="4.00390625" style="1" customWidth="1"/>
    <col min="7170" max="7170" width="17.8515625" style="1" customWidth="1"/>
    <col min="7171" max="7171" width="1.421875" style="1" customWidth="1"/>
    <col min="7172" max="7172" width="76.57421875" style="1" customWidth="1"/>
    <col min="7173" max="7177" width="12.140625" style="1" customWidth="1"/>
    <col min="7178" max="7178" width="6.7109375" style="1" customWidth="1"/>
    <col min="7179" max="7179" width="12.8515625" style="1" customWidth="1"/>
    <col min="7180" max="7180" width="12.00390625" style="1" customWidth="1"/>
    <col min="7181" max="7181" width="15.7109375" style="1" customWidth="1"/>
    <col min="7182" max="7192" width="12.140625" style="1" customWidth="1"/>
    <col min="7193" max="7242" width="12.140625" style="1" hidden="1" customWidth="1"/>
    <col min="7243" max="7424" width="12.140625" style="1" customWidth="1"/>
    <col min="7425" max="7425" width="4.00390625" style="1" customWidth="1"/>
    <col min="7426" max="7426" width="17.8515625" style="1" customWidth="1"/>
    <col min="7427" max="7427" width="1.421875" style="1" customWidth="1"/>
    <col min="7428" max="7428" width="76.57421875" style="1" customWidth="1"/>
    <col min="7429" max="7433" width="12.140625" style="1" customWidth="1"/>
    <col min="7434" max="7434" width="6.7109375" style="1" customWidth="1"/>
    <col min="7435" max="7435" width="12.8515625" style="1" customWidth="1"/>
    <col min="7436" max="7436" width="12.00390625" style="1" customWidth="1"/>
    <col min="7437" max="7437" width="15.7109375" style="1" customWidth="1"/>
    <col min="7438" max="7448" width="12.140625" style="1" customWidth="1"/>
    <col min="7449" max="7498" width="12.140625" style="1" hidden="1" customWidth="1"/>
    <col min="7499" max="7680" width="12.140625" style="1" customWidth="1"/>
    <col min="7681" max="7681" width="4.00390625" style="1" customWidth="1"/>
    <col min="7682" max="7682" width="17.8515625" style="1" customWidth="1"/>
    <col min="7683" max="7683" width="1.421875" style="1" customWidth="1"/>
    <col min="7684" max="7684" width="76.57421875" style="1" customWidth="1"/>
    <col min="7685" max="7689" width="12.140625" style="1" customWidth="1"/>
    <col min="7690" max="7690" width="6.7109375" style="1" customWidth="1"/>
    <col min="7691" max="7691" width="12.8515625" style="1" customWidth="1"/>
    <col min="7692" max="7692" width="12.00390625" style="1" customWidth="1"/>
    <col min="7693" max="7693" width="15.7109375" style="1" customWidth="1"/>
    <col min="7694" max="7704" width="12.140625" style="1" customWidth="1"/>
    <col min="7705" max="7754" width="12.140625" style="1" hidden="1" customWidth="1"/>
    <col min="7755" max="7936" width="12.140625" style="1" customWidth="1"/>
    <col min="7937" max="7937" width="4.00390625" style="1" customWidth="1"/>
    <col min="7938" max="7938" width="17.8515625" style="1" customWidth="1"/>
    <col min="7939" max="7939" width="1.421875" style="1" customWidth="1"/>
    <col min="7940" max="7940" width="76.57421875" style="1" customWidth="1"/>
    <col min="7941" max="7945" width="12.140625" style="1" customWidth="1"/>
    <col min="7946" max="7946" width="6.7109375" style="1" customWidth="1"/>
    <col min="7947" max="7947" width="12.8515625" style="1" customWidth="1"/>
    <col min="7948" max="7948" width="12.00390625" style="1" customWidth="1"/>
    <col min="7949" max="7949" width="15.7109375" style="1" customWidth="1"/>
    <col min="7950" max="7960" width="12.140625" style="1" customWidth="1"/>
    <col min="7961" max="8010" width="12.140625" style="1" hidden="1" customWidth="1"/>
    <col min="8011" max="8192" width="12.140625" style="1" customWidth="1"/>
    <col min="8193" max="8193" width="4.00390625" style="1" customWidth="1"/>
    <col min="8194" max="8194" width="17.8515625" style="1" customWidth="1"/>
    <col min="8195" max="8195" width="1.421875" style="1" customWidth="1"/>
    <col min="8196" max="8196" width="76.57421875" style="1" customWidth="1"/>
    <col min="8197" max="8201" width="12.140625" style="1" customWidth="1"/>
    <col min="8202" max="8202" width="6.7109375" style="1" customWidth="1"/>
    <col min="8203" max="8203" width="12.8515625" style="1" customWidth="1"/>
    <col min="8204" max="8204" width="12.00390625" style="1" customWidth="1"/>
    <col min="8205" max="8205" width="15.7109375" style="1" customWidth="1"/>
    <col min="8206" max="8216" width="12.140625" style="1" customWidth="1"/>
    <col min="8217" max="8266" width="12.140625" style="1" hidden="1" customWidth="1"/>
    <col min="8267" max="8448" width="12.140625" style="1" customWidth="1"/>
    <col min="8449" max="8449" width="4.00390625" style="1" customWidth="1"/>
    <col min="8450" max="8450" width="17.8515625" style="1" customWidth="1"/>
    <col min="8451" max="8451" width="1.421875" style="1" customWidth="1"/>
    <col min="8452" max="8452" width="76.57421875" style="1" customWidth="1"/>
    <col min="8453" max="8457" width="12.140625" style="1" customWidth="1"/>
    <col min="8458" max="8458" width="6.7109375" style="1" customWidth="1"/>
    <col min="8459" max="8459" width="12.8515625" style="1" customWidth="1"/>
    <col min="8460" max="8460" width="12.00390625" style="1" customWidth="1"/>
    <col min="8461" max="8461" width="15.7109375" style="1" customWidth="1"/>
    <col min="8462" max="8472" width="12.140625" style="1" customWidth="1"/>
    <col min="8473" max="8522" width="12.140625" style="1" hidden="1" customWidth="1"/>
    <col min="8523" max="8704" width="12.140625" style="1" customWidth="1"/>
    <col min="8705" max="8705" width="4.00390625" style="1" customWidth="1"/>
    <col min="8706" max="8706" width="17.8515625" style="1" customWidth="1"/>
    <col min="8707" max="8707" width="1.421875" style="1" customWidth="1"/>
    <col min="8708" max="8708" width="76.57421875" style="1" customWidth="1"/>
    <col min="8709" max="8713" width="12.140625" style="1" customWidth="1"/>
    <col min="8714" max="8714" width="6.7109375" style="1" customWidth="1"/>
    <col min="8715" max="8715" width="12.8515625" style="1" customWidth="1"/>
    <col min="8716" max="8716" width="12.00390625" style="1" customWidth="1"/>
    <col min="8717" max="8717" width="15.7109375" style="1" customWidth="1"/>
    <col min="8718" max="8728" width="12.140625" style="1" customWidth="1"/>
    <col min="8729" max="8778" width="12.140625" style="1" hidden="1" customWidth="1"/>
    <col min="8779" max="8960" width="12.140625" style="1" customWidth="1"/>
    <col min="8961" max="8961" width="4.00390625" style="1" customWidth="1"/>
    <col min="8962" max="8962" width="17.8515625" style="1" customWidth="1"/>
    <col min="8963" max="8963" width="1.421875" style="1" customWidth="1"/>
    <col min="8964" max="8964" width="76.57421875" style="1" customWidth="1"/>
    <col min="8965" max="8969" width="12.140625" style="1" customWidth="1"/>
    <col min="8970" max="8970" width="6.7109375" style="1" customWidth="1"/>
    <col min="8971" max="8971" width="12.8515625" style="1" customWidth="1"/>
    <col min="8972" max="8972" width="12.00390625" style="1" customWidth="1"/>
    <col min="8973" max="8973" width="15.7109375" style="1" customWidth="1"/>
    <col min="8974" max="8984" width="12.140625" style="1" customWidth="1"/>
    <col min="8985" max="9034" width="12.140625" style="1" hidden="1" customWidth="1"/>
    <col min="9035" max="9216" width="12.140625" style="1" customWidth="1"/>
    <col min="9217" max="9217" width="4.00390625" style="1" customWidth="1"/>
    <col min="9218" max="9218" width="17.8515625" style="1" customWidth="1"/>
    <col min="9219" max="9219" width="1.421875" style="1" customWidth="1"/>
    <col min="9220" max="9220" width="76.57421875" style="1" customWidth="1"/>
    <col min="9221" max="9225" width="12.140625" style="1" customWidth="1"/>
    <col min="9226" max="9226" width="6.7109375" style="1" customWidth="1"/>
    <col min="9227" max="9227" width="12.8515625" style="1" customWidth="1"/>
    <col min="9228" max="9228" width="12.00390625" style="1" customWidth="1"/>
    <col min="9229" max="9229" width="15.7109375" style="1" customWidth="1"/>
    <col min="9230" max="9240" width="12.140625" style="1" customWidth="1"/>
    <col min="9241" max="9290" width="12.140625" style="1" hidden="1" customWidth="1"/>
    <col min="9291" max="9472" width="12.140625" style="1" customWidth="1"/>
    <col min="9473" max="9473" width="4.00390625" style="1" customWidth="1"/>
    <col min="9474" max="9474" width="17.8515625" style="1" customWidth="1"/>
    <col min="9475" max="9475" width="1.421875" style="1" customWidth="1"/>
    <col min="9476" max="9476" width="76.57421875" style="1" customWidth="1"/>
    <col min="9477" max="9481" width="12.140625" style="1" customWidth="1"/>
    <col min="9482" max="9482" width="6.7109375" style="1" customWidth="1"/>
    <col min="9483" max="9483" width="12.8515625" style="1" customWidth="1"/>
    <col min="9484" max="9484" width="12.00390625" style="1" customWidth="1"/>
    <col min="9485" max="9485" width="15.7109375" style="1" customWidth="1"/>
    <col min="9486" max="9496" width="12.140625" style="1" customWidth="1"/>
    <col min="9497" max="9546" width="12.140625" style="1" hidden="1" customWidth="1"/>
    <col min="9547" max="9728" width="12.140625" style="1" customWidth="1"/>
    <col min="9729" max="9729" width="4.00390625" style="1" customWidth="1"/>
    <col min="9730" max="9730" width="17.8515625" style="1" customWidth="1"/>
    <col min="9731" max="9731" width="1.421875" style="1" customWidth="1"/>
    <col min="9732" max="9732" width="76.57421875" style="1" customWidth="1"/>
    <col min="9733" max="9737" width="12.140625" style="1" customWidth="1"/>
    <col min="9738" max="9738" width="6.7109375" style="1" customWidth="1"/>
    <col min="9739" max="9739" width="12.8515625" style="1" customWidth="1"/>
    <col min="9740" max="9740" width="12.00390625" style="1" customWidth="1"/>
    <col min="9741" max="9741" width="15.7109375" style="1" customWidth="1"/>
    <col min="9742" max="9752" width="12.140625" style="1" customWidth="1"/>
    <col min="9753" max="9802" width="12.140625" style="1" hidden="1" customWidth="1"/>
    <col min="9803" max="9984" width="12.140625" style="1" customWidth="1"/>
    <col min="9985" max="9985" width="4.00390625" style="1" customWidth="1"/>
    <col min="9986" max="9986" width="17.8515625" style="1" customWidth="1"/>
    <col min="9987" max="9987" width="1.421875" style="1" customWidth="1"/>
    <col min="9988" max="9988" width="76.57421875" style="1" customWidth="1"/>
    <col min="9989" max="9993" width="12.140625" style="1" customWidth="1"/>
    <col min="9994" max="9994" width="6.7109375" style="1" customWidth="1"/>
    <col min="9995" max="9995" width="12.8515625" style="1" customWidth="1"/>
    <col min="9996" max="9996" width="12.00390625" style="1" customWidth="1"/>
    <col min="9997" max="9997" width="15.7109375" style="1" customWidth="1"/>
    <col min="9998" max="10008" width="12.140625" style="1" customWidth="1"/>
    <col min="10009" max="10058" width="12.140625" style="1" hidden="1" customWidth="1"/>
    <col min="10059" max="10240" width="12.140625" style="1" customWidth="1"/>
    <col min="10241" max="10241" width="4.00390625" style="1" customWidth="1"/>
    <col min="10242" max="10242" width="17.8515625" style="1" customWidth="1"/>
    <col min="10243" max="10243" width="1.421875" style="1" customWidth="1"/>
    <col min="10244" max="10244" width="76.57421875" style="1" customWidth="1"/>
    <col min="10245" max="10249" width="12.140625" style="1" customWidth="1"/>
    <col min="10250" max="10250" width="6.7109375" style="1" customWidth="1"/>
    <col min="10251" max="10251" width="12.8515625" style="1" customWidth="1"/>
    <col min="10252" max="10252" width="12.00390625" style="1" customWidth="1"/>
    <col min="10253" max="10253" width="15.7109375" style="1" customWidth="1"/>
    <col min="10254" max="10264" width="12.140625" style="1" customWidth="1"/>
    <col min="10265" max="10314" width="12.140625" style="1" hidden="1" customWidth="1"/>
    <col min="10315" max="10496" width="12.140625" style="1" customWidth="1"/>
    <col min="10497" max="10497" width="4.00390625" style="1" customWidth="1"/>
    <col min="10498" max="10498" width="17.8515625" style="1" customWidth="1"/>
    <col min="10499" max="10499" width="1.421875" style="1" customWidth="1"/>
    <col min="10500" max="10500" width="76.57421875" style="1" customWidth="1"/>
    <col min="10501" max="10505" width="12.140625" style="1" customWidth="1"/>
    <col min="10506" max="10506" width="6.7109375" style="1" customWidth="1"/>
    <col min="10507" max="10507" width="12.8515625" style="1" customWidth="1"/>
    <col min="10508" max="10508" width="12.00390625" style="1" customWidth="1"/>
    <col min="10509" max="10509" width="15.7109375" style="1" customWidth="1"/>
    <col min="10510" max="10520" width="12.140625" style="1" customWidth="1"/>
    <col min="10521" max="10570" width="12.140625" style="1" hidden="1" customWidth="1"/>
    <col min="10571" max="10752" width="12.140625" style="1" customWidth="1"/>
    <col min="10753" max="10753" width="4.00390625" style="1" customWidth="1"/>
    <col min="10754" max="10754" width="17.8515625" style="1" customWidth="1"/>
    <col min="10755" max="10755" width="1.421875" style="1" customWidth="1"/>
    <col min="10756" max="10756" width="76.57421875" style="1" customWidth="1"/>
    <col min="10757" max="10761" width="12.140625" style="1" customWidth="1"/>
    <col min="10762" max="10762" width="6.7109375" style="1" customWidth="1"/>
    <col min="10763" max="10763" width="12.8515625" style="1" customWidth="1"/>
    <col min="10764" max="10764" width="12.00390625" style="1" customWidth="1"/>
    <col min="10765" max="10765" width="15.7109375" style="1" customWidth="1"/>
    <col min="10766" max="10776" width="12.140625" style="1" customWidth="1"/>
    <col min="10777" max="10826" width="12.140625" style="1" hidden="1" customWidth="1"/>
    <col min="10827" max="11008" width="12.140625" style="1" customWidth="1"/>
    <col min="11009" max="11009" width="4.00390625" style="1" customWidth="1"/>
    <col min="11010" max="11010" width="17.8515625" style="1" customWidth="1"/>
    <col min="11011" max="11011" width="1.421875" style="1" customWidth="1"/>
    <col min="11012" max="11012" width="76.57421875" style="1" customWidth="1"/>
    <col min="11013" max="11017" width="12.140625" style="1" customWidth="1"/>
    <col min="11018" max="11018" width="6.7109375" style="1" customWidth="1"/>
    <col min="11019" max="11019" width="12.8515625" style="1" customWidth="1"/>
    <col min="11020" max="11020" width="12.00390625" style="1" customWidth="1"/>
    <col min="11021" max="11021" width="15.7109375" style="1" customWidth="1"/>
    <col min="11022" max="11032" width="12.140625" style="1" customWidth="1"/>
    <col min="11033" max="11082" width="12.140625" style="1" hidden="1" customWidth="1"/>
    <col min="11083" max="11264" width="12.140625" style="1" customWidth="1"/>
    <col min="11265" max="11265" width="4.00390625" style="1" customWidth="1"/>
    <col min="11266" max="11266" width="17.8515625" style="1" customWidth="1"/>
    <col min="11267" max="11267" width="1.421875" style="1" customWidth="1"/>
    <col min="11268" max="11268" width="76.57421875" style="1" customWidth="1"/>
    <col min="11269" max="11273" width="12.140625" style="1" customWidth="1"/>
    <col min="11274" max="11274" width="6.7109375" style="1" customWidth="1"/>
    <col min="11275" max="11275" width="12.8515625" style="1" customWidth="1"/>
    <col min="11276" max="11276" width="12.00390625" style="1" customWidth="1"/>
    <col min="11277" max="11277" width="15.7109375" style="1" customWidth="1"/>
    <col min="11278" max="11288" width="12.140625" style="1" customWidth="1"/>
    <col min="11289" max="11338" width="12.140625" style="1" hidden="1" customWidth="1"/>
    <col min="11339" max="11520" width="12.140625" style="1" customWidth="1"/>
    <col min="11521" max="11521" width="4.00390625" style="1" customWidth="1"/>
    <col min="11522" max="11522" width="17.8515625" style="1" customWidth="1"/>
    <col min="11523" max="11523" width="1.421875" style="1" customWidth="1"/>
    <col min="11524" max="11524" width="76.57421875" style="1" customWidth="1"/>
    <col min="11525" max="11529" width="12.140625" style="1" customWidth="1"/>
    <col min="11530" max="11530" width="6.7109375" style="1" customWidth="1"/>
    <col min="11531" max="11531" width="12.8515625" style="1" customWidth="1"/>
    <col min="11532" max="11532" width="12.00390625" style="1" customWidth="1"/>
    <col min="11533" max="11533" width="15.7109375" style="1" customWidth="1"/>
    <col min="11534" max="11544" width="12.140625" style="1" customWidth="1"/>
    <col min="11545" max="11594" width="12.140625" style="1" hidden="1" customWidth="1"/>
    <col min="11595" max="11776" width="12.140625" style="1" customWidth="1"/>
    <col min="11777" max="11777" width="4.00390625" style="1" customWidth="1"/>
    <col min="11778" max="11778" width="17.8515625" style="1" customWidth="1"/>
    <col min="11779" max="11779" width="1.421875" style="1" customWidth="1"/>
    <col min="11780" max="11780" width="76.57421875" style="1" customWidth="1"/>
    <col min="11781" max="11785" width="12.140625" style="1" customWidth="1"/>
    <col min="11786" max="11786" width="6.7109375" style="1" customWidth="1"/>
    <col min="11787" max="11787" width="12.8515625" style="1" customWidth="1"/>
    <col min="11788" max="11788" width="12.00390625" style="1" customWidth="1"/>
    <col min="11789" max="11789" width="15.7109375" style="1" customWidth="1"/>
    <col min="11790" max="11800" width="12.140625" style="1" customWidth="1"/>
    <col min="11801" max="11850" width="12.140625" style="1" hidden="1" customWidth="1"/>
    <col min="11851" max="12032" width="12.140625" style="1" customWidth="1"/>
    <col min="12033" max="12033" width="4.00390625" style="1" customWidth="1"/>
    <col min="12034" max="12034" width="17.8515625" style="1" customWidth="1"/>
    <col min="12035" max="12035" width="1.421875" style="1" customWidth="1"/>
    <col min="12036" max="12036" width="76.57421875" style="1" customWidth="1"/>
    <col min="12037" max="12041" width="12.140625" style="1" customWidth="1"/>
    <col min="12042" max="12042" width="6.7109375" style="1" customWidth="1"/>
    <col min="12043" max="12043" width="12.8515625" style="1" customWidth="1"/>
    <col min="12044" max="12044" width="12.00390625" style="1" customWidth="1"/>
    <col min="12045" max="12045" width="15.7109375" style="1" customWidth="1"/>
    <col min="12046" max="12056" width="12.140625" style="1" customWidth="1"/>
    <col min="12057" max="12106" width="12.140625" style="1" hidden="1" customWidth="1"/>
    <col min="12107" max="12288" width="12.140625" style="1" customWidth="1"/>
    <col min="12289" max="12289" width="4.00390625" style="1" customWidth="1"/>
    <col min="12290" max="12290" width="17.8515625" style="1" customWidth="1"/>
    <col min="12291" max="12291" width="1.421875" style="1" customWidth="1"/>
    <col min="12292" max="12292" width="76.57421875" style="1" customWidth="1"/>
    <col min="12293" max="12297" width="12.140625" style="1" customWidth="1"/>
    <col min="12298" max="12298" width="6.7109375" style="1" customWidth="1"/>
    <col min="12299" max="12299" width="12.8515625" style="1" customWidth="1"/>
    <col min="12300" max="12300" width="12.00390625" style="1" customWidth="1"/>
    <col min="12301" max="12301" width="15.7109375" style="1" customWidth="1"/>
    <col min="12302" max="12312" width="12.140625" style="1" customWidth="1"/>
    <col min="12313" max="12362" width="12.140625" style="1" hidden="1" customWidth="1"/>
    <col min="12363" max="12544" width="12.140625" style="1" customWidth="1"/>
    <col min="12545" max="12545" width="4.00390625" style="1" customWidth="1"/>
    <col min="12546" max="12546" width="17.8515625" style="1" customWidth="1"/>
    <col min="12547" max="12547" width="1.421875" style="1" customWidth="1"/>
    <col min="12548" max="12548" width="76.57421875" style="1" customWidth="1"/>
    <col min="12549" max="12553" width="12.140625" style="1" customWidth="1"/>
    <col min="12554" max="12554" width="6.7109375" style="1" customWidth="1"/>
    <col min="12555" max="12555" width="12.8515625" style="1" customWidth="1"/>
    <col min="12556" max="12556" width="12.00390625" style="1" customWidth="1"/>
    <col min="12557" max="12557" width="15.7109375" style="1" customWidth="1"/>
    <col min="12558" max="12568" width="12.140625" style="1" customWidth="1"/>
    <col min="12569" max="12618" width="12.140625" style="1" hidden="1" customWidth="1"/>
    <col min="12619" max="12800" width="12.140625" style="1" customWidth="1"/>
    <col min="12801" max="12801" width="4.00390625" style="1" customWidth="1"/>
    <col min="12802" max="12802" width="17.8515625" style="1" customWidth="1"/>
    <col min="12803" max="12803" width="1.421875" style="1" customWidth="1"/>
    <col min="12804" max="12804" width="76.57421875" style="1" customWidth="1"/>
    <col min="12805" max="12809" width="12.140625" style="1" customWidth="1"/>
    <col min="12810" max="12810" width="6.7109375" style="1" customWidth="1"/>
    <col min="12811" max="12811" width="12.8515625" style="1" customWidth="1"/>
    <col min="12812" max="12812" width="12.00390625" style="1" customWidth="1"/>
    <col min="12813" max="12813" width="15.7109375" style="1" customWidth="1"/>
    <col min="12814" max="12824" width="12.140625" style="1" customWidth="1"/>
    <col min="12825" max="12874" width="12.140625" style="1" hidden="1" customWidth="1"/>
    <col min="12875" max="13056" width="12.140625" style="1" customWidth="1"/>
    <col min="13057" max="13057" width="4.00390625" style="1" customWidth="1"/>
    <col min="13058" max="13058" width="17.8515625" style="1" customWidth="1"/>
    <col min="13059" max="13059" width="1.421875" style="1" customWidth="1"/>
    <col min="13060" max="13060" width="76.57421875" style="1" customWidth="1"/>
    <col min="13061" max="13065" width="12.140625" style="1" customWidth="1"/>
    <col min="13066" max="13066" width="6.7109375" style="1" customWidth="1"/>
    <col min="13067" max="13067" width="12.8515625" style="1" customWidth="1"/>
    <col min="13068" max="13068" width="12.00390625" style="1" customWidth="1"/>
    <col min="13069" max="13069" width="15.7109375" style="1" customWidth="1"/>
    <col min="13070" max="13080" width="12.140625" style="1" customWidth="1"/>
    <col min="13081" max="13130" width="12.140625" style="1" hidden="1" customWidth="1"/>
    <col min="13131" max="13312" width="12.140625" style="1" customWidth="1"/>
    <col min="13313" max="13313" width="4.00390625" style="1" customWidth="1"/>
    <col min="13314" max="13314" width="17.8515625" style="1" customWidth="1"/>
    <col min="13315" max="13315" width="1.421875" style="1" customWidth="1"/>
    <col min="13316" max="13316" width="76.57421875" style="1" customWidth="1"/>
    <col min="13317" max="13321" width="12.140625" style="1" customWidth="1"/>
    <col min="13322" max="13322" width="6.7109375" style="1" customWidth="1"/>
    <col min="13323" max="13323" width="12.8515625" style="1" customWidth="1"/>
    <col min="13324" max="13324" width="12.00390625" style="1" customWidth="1"/>
    <col min="13325" max="13325" width="15.7109375" style="1" customWidth="1"/>
    <col min="13326" max="13336" width="12.140625" style="1" customWidth="1"/>
    <col min="13337" max="13386" width="12.140625" style="1" hidden="1" customWidth="1"/>
    <col min="13387" max="13568" width="12.140625" style="1" customWidth="1"/>
    <col min="13569" max="13569" width="4.00390625" style="1" customWidth="1"/>
    <col min="13570" max="13570" width="17.8515625" style="1" customWidth="1"/>
    <col min="13571" max="13571" width="1.421875" style="1" customWidth="1"/>
    <col min="13572" max="13572" width="76.57421875" style="1" customWidth="1"/>
    <col min="13573" max="13577" width="12.140625" style="1" customWidth="1"/>
    <col min="13578" max="13578" width="6.7109375" style="1" customWidth="1"/>
    <col min="13579" max="13579" width="12.8515625" style="1" customWidth="1"/>
    <col min="13580" max="13580" width="12.00390625" style="1" customWidth="1"/>
    <col min="13581" max="13581" width="15.7109375" style="1" customWidth="1"/>
    <col min="13582" max="13592" width="12.140625" style="1" customWidth="1"/>
    <col min="13593" max="13642" width="12.140625" style="1" hidden="1" customWidth="1"/>
    <col min="13643" max="13824" width="12.140625" style="1" customWidth="1"/>
    <col min="13825" max="13825" width="4.00390625" style="1" customWidth="1"/>
    <col min="13826" max="13826" width="17.8515625" style="1" customWidth="1"/>
    <col min="13827" max="13827" width="1.421875" style="1" customWidth="1"/>
    <col min="13828" max="13828" width="76.57421875" style="1" customWidth="1"/>
    <col min="13829" max="13833" width="12.140625" style="1" customWidth="1"/>
    <col min="13834" max="13834" width="6.7109375" style="1" customWidth="1"/>
    <col min="13835" max="13835" width="12.8515625" style="1" customWidth="1"/>
    <col min="13836" max="13836" width="12.00390625" style="1" customWidth="1"/>
    <col min="13837" max="13837" width="15.7109375" style="1" customWidth="1"/>
    <col min="13838" max="13848" width="12.140625" style="1" customWidth="1"/>
    <col min="13849" max="13898" width="12.140625" style="1" hidden="1" customWidth="1"/>
    <col min="13899" max="14080" width="12.140625" style="1" customWidth="1"/>
    <col min="14081" max="14081" width="4.00390625" style="1" customWidth="1"/>
    <col min="14082" max="14082" width="17.8515625" style="1" customWidth="1"/>
    <col min="14083" max="14083" width="1.421875" style="1" customWidth="1"/>
    <col min="14084" max="14084" width="76.57421875" style="1" customWidth="1"/>
    <col min="14085" max="14089" width="12.140625" style="1" customWidth="1"/>
    <col min="14090" max="14090" width="6.7109375" style="1" customWidth="1"/>
    <col min="14091" max="14091" width="12.8515625" style="1" customWidth="1"/>
    <col min="14092" max="14092" width="12.00390625" style="1" customWidth="1"/>
    <col min="14093" max="14093" width="15.7109375" style="1" customWidth="1"/>
    <col min="14094" max="14104" width="12.140625" style="1" customWidth="1"/>
    <col min="14105" max="14154" width="12.140625" style="1" hidden="1" customWidth="1"/>
    <col min="14155" max="14336" width="12.140625" style="1" customWidth="1"/>
    <col min="14337" max="14337" width="4.00390625" style="1" customWidth="1"/>
    <col min="14338" max="14338" width="17.8515625" style="1" customWidth="1"/>
    <col min="14339" max="14339" width="1.421875" style="1" customWidth="1"/>
    <col min="14340" max="14340" width="76.57421875" style="1" customWidth="1"/>
    <col min="14341" max="14345" width="12.140625" style="1" customWidth="1"/>
    <col min="14346" max="14346" width="6.7109375" style="1" customWidth="1"/>
    <col min="14347" max="14347" width="12.8515625" style="1" customWidth="1"/>
    <col min="14348" max="14348" width="12.00390625" style="1" customWidth="1"/>
    <col min="14349" max="14349" width="15.7109375" style="1" customWidth="1"/>
    <col min="14350" max="14360" width="12.140625" style="1" customWidth="1"/>
    <col min="14361" max="14410" width="12.140625" style="1" hidden="1" customWidth="1"/>
    <col min="14411" max="14592" width="12.140625" style="1" customWidth="1"/>
    <col min="14593" max="14593" width="4.00390625" style="1" customWidth="1"/>
    <col min="14594" max="14594" width="17.8515625" style="1" customWidth="1"/>
    <col min="14595" max="14595" width="1.421875" style="1" customWidth="1"/>
    <col min="14596" max="14596" width="76.57421875" style="1" customWidth="1"/>
    <col min="14597" max="14601" width="12.140625" style="1" customWidth="1"/>
    <col min="14602" max="14602" width="6.7109375" style="1" customWidth="1"/>
    <col min="14603" max="14603" width="12.8515625" style="1" customWidth="1"/>
    <col min="14604" max="14604" width="12.00390625" style="1" customWidth="1"/>
    <col min="14605" max="14605" width="15.7109375" style="1" customWidth="1"/>
    <col min="14606" max="14616" width="12.140625" style="1" customWidth="1"/>
    <col min="14617" max="14666" width="12.140625" style="1" hidden="1" customWidth="1"/>
    <col min="14667" max="14848" width="12.140625" style="1" customWidth="1"/>
    <col min="14849" max="14849" width="4.00390625" style="1" customWidth="1"/>
    <col min="14850" max="14850" width="17.8515625" style="1" customWidth="1"/>
    <col min="14851" max="14851" width="1.421875" style="1" customWidth="1"/>
    <col min="14852" max="14852" width="76.57421875" style="1" customWidth="1"/>
    <col min="14853" max="14857" width="12.140625" style="1" customWidth="1"/>
    <col min="14858" max="14858" width="6.7109375" style="1" customWidth="1"/>
    <col min="14859" max="14859" width="12.8515625" style="1" customWidth="1"/>
    <col min="14860" max="14860" width="12.00390625" style="1" customWidth="1"/>
    <col min="14861" max="14861" width="15.7109375" style="1" customWidth="1"/>
    <col min="14862" max="14872" width="12.140625" style="1" customWidth="1"/>
    <col min="14873" max="14922" width="12.140625" style="1" hidden="1" customWidth="1"/>
    <col min="14923" max="15104" width="12.140625" style="1" customWidth="1"/>
    <col min="15105" max="15105" width="4.00390625" style="1" customWidth="1"/>
    <col min="15106" max="15106" width="17.8515625" style="1" customWidth="1"/>
    <col min="15107" max="15107" width="1.421875" style="1" customWidth="1"/>
    <col min="15108" max="15108" width="76.57421875" style="1" customWidth="1"/>
    <col min="15109" max="15113" width="12.140625" style="1" customWidth="1"/>
    <col min="15114" max="15114" width="6.7109375" style="1" customWidth="1"/>
    <col min="15115" max="15115" width="12.8515625" style="1" customWidth="1"/>
    <col min="15116" max="15116" width="12.00390625" style="1" customWidth="1"/>
    <col min="15117" max="15117" width="15.7109375" style="1" customWidth="1"/>
    <col min="15118" max="15128" width="12.140625" style="1" customWidth="1"/>
    <col min="15129" max="15178" width="12.140625" style="1" hidden="1" customWidth="1"/>
    <col min="15179" max="15360" width="12.140625" style="1" customWidth="1"/>
    <col min="15361" max="15361" width="4.00390625" style="1" customWidth="1"/>
    <col min="15362" max="15362" width="17.8515625" style="1" customWidth="1"/>
    <col min="15363" max="15363" width="1.421875" style="1" customWidth="1"/>
    <col min="15364" max="15364" width="76.57421875" style="1" customWidth="1"/>
    <col min="15365" max="15369" width="12.140625" style="1" customWidth="1"/>
    <col min="15370" max="15370" width="6.7109375" style="1" customWidth="1"/>
    <col min="15371" max="15371" width="12.8515625" style="1" customWidth="1"/>
    <col min="15372" max="15372" width="12.00390625" style="1" customWidth="1"/>
    <col min="15373" max="15373" width="15.7109375" style="1" customWidth="1"/>
    <col min="15374" max="15384" width="12.140625" style="1" customWidth="1"/>
    <col min="15385" max="15434" width="12.140625" style="1" hidden="1" customWidth="1"/>
    <col min="15435" max="15616" width="12.140625" style="1" customWidth="1"/>
    <col min="15617" max="15617" width="4.00390625" style="1" customWidth="1"/>
    <col min="15618" max="15618" width="17.8515625" style="1" customWidth="1"/>
    <col min="15619" max="15619" width="1.421875" style="1" customWidth="1"/>
    <col min="15620" max="15620" width="76.57421875" style="1" customWidth="1"/>
    <col min="15621" max="15625" width="12.140625" style="1" customWidth="1"/>
    <col min="15626" max="15626" width="6.7109375" style="1" customWidth="1"/>
    <col min="15627" max="15627" width="12.8515625" style="1" customWidth="1"/>
    <col min="15628" max="15628" width="12.00390625" style="1" customWidth="1"/>
    <col min="15629" max="15629" width="15.7109375" style="1" customWidth="1"/>
    <col min="15630" max="15640" width="12.140625" style="1" customWidth="1"/>
    <col min="15641" max="15690" width="12.140625" style="1" hidden="1" customWidth="1"/>
    <col min="15691" max="15872" width="12.140625" style="1" customWidth="1"/>
    <col min="15873" max="15873" width="4.00390625" style="1" customWidth="1"/>
    <col min="15874" max="15874" width="17.8515625" style="1" customWidth="1"/>
    <col min="15875" max="15875" width="1.421875" style="1" customWidth="1"/>
    <col min="15876" max="15876" width="76.57421875" style="1" customWidth="1"/>
    <col min="15877" max="15881" width="12.140625" style="1" customWidth="1"/>
    <col min="15882" max="15882" width="6.7109375" style="1" customWidth="1"/>
    <col min="15883" max="15883" width="12.8515625" style="1" customWidth="1"/>
    <col min="15884" max="15884" width="12.00390625" style="1" customWidth="1"/>
    <col min="15885" max="15885" width="15.7109375" style="1" customWidth="1"/>
    <col min="15886" max="15896" width="12.140625" style="1" customWidth="1"/>
    <col min="15897" max="15946" width="12.140625" style="1" hidden="1" customWidth="1"/>
    <col min="15947" max="16128" width="12.140625" style="1" customWidth="1"/>
    <col min="16129" max="16129" width="4.00390625" style="1" customWidth="1"/>
    <col min="16130" max="16130" width="17.8515625" style="1" customWidth="1"/>
    <col min="16131" max="16131" width="1.421875" style="1" customWidth="1"/>
    <col min="16132" max="16132" width="76.57421875" style="1" customWidth="1"/>
    <col min="16133" max="16137" width="12.140625" style="1" customWidth="1"/>
    <col min="16138" max="16138" width="6.7109375" style="1" customWidth="1"/>
    <col min="16139" max="16139" width="12.8515625" style="1" customWidth="1"/>
    <col min="16140" max="16140" width="12.00390625" style="1" customWidth="1"/>
    <col min="16141" max="16141" width="15.7109375" style="1" customWidth="1"/>
    <col min="16142" max="16152" width="12.140625" style="1" customWidth="1"/>
    <col min="16153" max="16202" width="12.140625" style="1" hidden="1" customWidth="1"/>
    <col min="16203" max="16384" width="12.140625" style="1" customWidth="1"/>
  </cols>
  <sheetData>
    <row r="1" spans="1:13" ht="23.25">
      <c r="A1" s="136" t="str">
        <f>C4</f>
        <v>Vedlejší a ostatní náklady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" customHeight="1">
      <c r="A2" s="137" t="s">
        <v>0</v>
      </c>
      <c r="B2" s="138"/>
      <c r="C2" s="139" t="s">
        <v>1</v>
      </c>
      <c r="D2" s="140"/>
      <c r="E2" s="138" t="s">
        <v>2</v>
      </c>
      <c r="F2" s="138"/>
      <c r="G2" s="138" t="s">
        <v>3</v>
      </c>
      <c r="H2" s="142" t="s">
        <v>4</v>
      </c>
      <c r="I2" s="142" t="s">
        <v>5</v>
      </c>
      <c r="J2" s="138"/>
      <c r="K2" s="138"/>
      <c r="L2" s="138"/>
      <c r="M2" s="143"/>
    </row>
    <row r="3" spans="1:13" ht="15" customHeight="1">
      <c r="A3" s="134"/>
      <c r="B3" s="115"/>
      <c r="C3" s="141"/>
      <c r="D3" s="141"/>
      <c r="E3" s="115"/>
      <c r="F3" s="115"/>
      <c r="G3" s="115"/>
      <c r="H3" s="115"/>
      <c r="I3" s="115"/>
      <c r="J3" s="115"/>
      <c r="K3" s="115"/>
      <c r="L3" s="115"/>
      <c r="M3" s="133"/>
    </row>
    <row r="4" spans="1:13" ht="15" customHeight="1">
      <c r="A4" s="129" t="s">
        <v>6</v>
      </c>
      <c r="B4" s="115"/>
      <c r="C4" s="114" t="s">
        <v>1186</v>
      </c>
      <c r="D4" s="115"/>
      <c r="E4" s="115" t="s">
        <v>8</v>
      </c>
      <c r="F4" s="115"/>
      <c r="G4" s="115" t="s">
        <v>3</v>
      </c>
      <c r="H4" s="114" t="s">
        <v>9</v>
      </c>
      <c r="I4" s="114" t="s">
        <v>10</v>
      </c>
      <c r="J4" s="115"/>
      <c r="K4" s="115"/>
      <c r="L4" s="115"/>
      <c r="M4" s="133"/>
    </row>
    <row r="5" spans="1:13" ht="15" customHeight="1">
      <c r="A5" s="13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33"/>
    </row>
    <row r="6" spans="1:13" ht="15" customHeight="1">
      <c r="A6" s="129" t="s">
        <v>11</v>
      </c>
      <c r="B6" s="115"/>
      <c r="C6" s="114" t="s">
        <v>12</v>
      </c>
      <c r="D6" s="115"/>
      <c r="E6" s="115" t="s">
        <v>13</v>
      </c>
      <c r="F6" s="115"/>
      <c r="G6" s="115" t="s">
        <v>3</v>
      </c>
      <c r="H6" s="114" t="s">
        <v>14</v>
      </c>
      <c r="I6" s="115" t="s">
        <v>15</v>
      </c>
      <c r="J6" s="115"/>
      <c r="K6" s="115"/>
      <c r="L6" s="115"/>
      <c r="M6" s="133"/>
    </row>
    <row r="7" spans="1:13" ht="15" customHeight="1">
      <c r="A7" s="13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33"/>
    </row>
    <row r="8" spans="1:13" ht="15" customHeight="1">
      <c r="A8" s="129" t="s">
        <v>16</v>
      </c>
      <c r="B8" s="115"/>
      <c r="C8" s="114" t="s">
        <v>3</v>
      </c>
      <c r="D8" s="115"/>
      <c r="E8" s="115" t="s">
        <v>17</v>
      </c>
      <c r="F8" s="115"/>
      <c r="G8" s="115" t="s">
        <v>18</v>
      </c>
      <c r="H8" s="114" t="s">
        <v>19</v>
      </c>
      <c r="I8" s="114" t="s">
        <v>20</v>
      </c>
      <c r="J8" s="115"/>
      <c r="K8" s="115"/>
      <c r="L8" s="115"/>
      <c r="M8" s="133"/>
    </row>
    <row r="9" spans="1:13" ht="15" customHeight="1" thickBot="1">
      <c r="A9" s="13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33"/>
    </row>
    <row r="10" spans="1:64" ht="15" customHeight="1">
      <c r="A10" s="5" t="s">
        <v>21</v>
      </c>
      <c r="B10" s="6" t="s">
        <v>22</v>
      </c>
      <c r="C10" s="145" t="s">
        <v>23</v>
      </c>
      <c r="D10" s="145"/>
      <c r="E10" s="145"/>
      <c r="F10" s="145"/>
      <c r="G10" s="145"/>
      <c r="H10" s="145"/>
      <c r="I10" s="146"/>
      <c r="J10" s="6" t="s">
        <v>24</v>
      </c>
      <c r="K10" s="7" t="s">
        <v>25</v>
      </c>
      <c r="L10" s="8" t="s">
        <v>26</v>
      </c>
      <c r="M10" s="27" t="s">
        <v>27</v>
      </c>
      <c r="BK10" s="10" t="s">
        <v>29</v>
      </c>
      <c r="BL10" s="11" t="s">
        <v>30</v>
      </c>
    </row>
    <row r="11" spans="1:62" ht="15" customHeight="1" thickBot="1">
      <c r="A11" s="12" t="s">
        <v>3</v>
      </c>
      <c r="B11" s="13" t="s">
        <v>3</v>
      </c>
      <c r="C11" s="147" t="s">
        <v>31</v>
      </c>
      <c r="D11" s="147"/>
      <c r="E11" s="147"/>
      <c r="F11" s="147"/>
      <c r="G11" s="147"/>
      <c r="H11" s="147"/>
      <c r="I11" s="148"/>
      <c r="J11" s="13" t="s">
        <v>3</v>
      </c>
      <c r="K11" s="13" t="s">
        <v>3</v>
      </c>
      <c r="L11" s="14" t="s">
        <v>32</v>
      </c>
      <c r="M11" s="15" t="s">
        <v>35</v>
      </c>
      <c r="Z11" s="10" t="s">
        <v>37</v>
      </c>
      <c r="AA11" s="10" t="s">
        <v>38</v>
      </c>
      <c r="AB11" s="10" t="s">
        <v>39</v>
      </c>
      <c r="AC11" s="10" t="s">
        <v>40</v>
      </c>
      <c r="AD11" s="10" t="s">
        <v>41</v>
      </c>
      <c r="AE11" s="10" t="s">
        <v>42</v>
      </c>
      <c r="AF11" s="10" t="s">
        <v>43</v>
      </c>
      <c r="AG11" s="10" t="s">
        <v>44</v>
      </c>
      <c r="AH11" s="10" t="s">
        <v>45</v>
      </c>
      <c r="BH11" s="10" t="s">
        <v>46</v>
      </c>
      <c r="BI11" s="10" t="s">
        <v>47</v>
      </c>
      <c r="BJ11" s="10" t="s">
        <v>48</v>
      </c>
    </row>
    <row r="12" spans="1:35" ht="15" customHeight="1">
      <c r="A12" s="16" t="s">
        <v>49</v>
      </c>
      <c r="B12" s="17" t="s">
        <v>49</v>
      </c>
      <c r="C12" s="144" t="s">
        <v>1187</v>
      </c>
      <c r="D12" s="144"/>
      <c r="E12" s="144"/>
      <c r="F12" s="144"/>
      <c r="G12" s="144"/>
      <c r="H12" s="144"/>
      <c r="I12" s="144"/>
      <c r="J12" s="18" t="s">
        <v>3</v>
      </c>
      <c r="K12" s="18" t="s">
        <v>3</v>
      </c>
      <c r="L12" s="18" t="s">
        <v>3</v>
      </c>
      <c r="M12" s="28">
        <f>M13+M23</f>
        <v>0</v>
      </c>
      <c r="AI12" s="10" t="s">
        <v>49</v>
      </c>
    </row>
    <row r="13" spans="1:47" ht="15" customHeight="1">
      <c r="A13" s="16" t="s">
        <v>49</v>
      </c>
      <c r="B13" s="17" t="s">
        <v>1188</v>
      </c>
      <c r="C13" s="144" t="s">
        <v>1189</v>
      </c>
      <c r="D13" s="144"/>
      <c r="E13" s="144"/>
      <c r="F13" s="144"/>
      <c r="G13" s="144"/>
      <c r="H13" s="144"/>
      <c r="I13" s="144"/>
      <c r="J13" s="18" t="s">
        <v>3</v>
      </c>
      <c r="K13" s="18" t="s">
        <v>3</v>
      </c>
      <c r="L13" s="18" t="s">
        <v>3</v>
      </c>
      <c r="M13" s="28">
        <f>SUM(M14:M22)</f>
        <v>0</v>
      </c>
      <c r="AI13" s="10" t="s">
        <v>49</v>
      </c>
      <c r="AS13" s="19">
        <f>SUM(AJ14:AJ22)</f>
        <v>0</v>
      </c>
      <c r="AT13" s="19">
        <f>SUM(AK14:AK22)</f>
        <v>0</v>
      </c>
      <c r="AU13" s="19">
        <f>SUM(AL14:AL22)</f>
        <v>0</v>
      </c>
    </row>
    <row r="14" spans="1:65" ht="15" customHeight="1">
      <c r="A14" s="2" t="s">
        <v>52</v>
      </c>
      <c r="B14" s="3" t="s">
        <v>1190</v>
      </c>
      <c r="C14" s="115" t="s">
        <v>1191</v>
      </c>
      <c r="D14" s="115"/>
      <c r="E14" s="115"/>
      <c r="F14" s="115"/>
      <c r="G14" s="115"/>
      <c r="H14" s="115"/>
      <c r="I14" s="115"/>
      <c r="J14" s="3" t="s">
        <v>1192</v>
      </c>
      <c r="K14" s="20">
        <v>1</v>
      </c>
      <c r="L14" s="106"/>
      <c r="M14" s="29">
        <f aca="true" t="shared" si="0" ref="M14:M22">K14*L14</f>
        <v>0</v>
      </c>
      <c r="Z14" s="20">
        <f aca="true" t="shared" si="1" ref="Z14:Z22">IF(AQ14="5",BJ14,0)</f>
        <v>0</v>
      </c>
      <c r="AB14" s="20">
        <f aca="true" t="shared" si="2" ref="AB14:AB22">IF(AQ14="1",BH14,0)</f>
        <v>0</v>
      </c>
      <c r="AC14" s="20">
        <f aca="true" t="shared" si="3" ref="AC14:AC22">IF(AQ14="1",BI14,0)</f>
        <v>0</v>
      </c>
      <c r="AD14" s="20">
        <f aca="true" t="shared" si="4" ref="AD14:AD22">IF(AQ14="7",BH14,0)</f>
        <v>0</v>
      </c>
      <c r="AE14" s="20">
        <f aca="true" t="shared" si="5" ref="AE14:AE22">IF(AQ14="7",BI14,0)</f>
        <v>0</v>
      </c>
      <c r="AF14" s="20">
        <f aca="true" t="shared" si="6" ref="AF14:AF22">IF(AQ14="2",BH14,0)</f>
        <v>0</v>
      </c>
      <c r="AG14" s="20">
        <f aca="true" t="shared" si="7" ref="AG14:AG22">IF(AQ14="2",BI14,0)</f>
        <v>0</v>
      </c>
      <c r="AH14" s="20">
        <f aca="true" t="shared" si="8" ref="AH14:AH22">IF(AQ14="0",BJ14,0)</f>
        <v>0</v>
      </c>
      <c r="AI14" s="10" t="s">
        <v>49</v>
      </c>
      <c r="AJ14" s="20">
        <f aca="true" t="shared" si="9" ref="AJ14:AJ22">IF(AN14=0,M14,0)</f>
        <v>0</v>
      </c>
      <c r="AK14" s="20">
        <f aca="true" t="shared" si="10" ref="AK14:AK22">IF(AN14=15,M14,0)</f>
        <v>0</v>
      </c>
      <c r="AL14" s="20">
        <f aca="true" t="shared" si="11" ref="AL14:AL22">IF(AN14=21,M14,0)</f>
        <v>0</v>
      </c>
      <c r="AN14" s="20">
        <v>21</v>
      </c>
      <c r="AO14" s="20">
        <f aca="true" t="shared" si="12" ref="AO14:AO22">L14*0</f>
        <v>0</v>
      </c>
      <c r="AP14" s="20">
        <f aca="true" t="shared" si="13" ref="AP14:AP22">L14*(1-0)</f>
        <v>0</v>
      </c>
      <c r="AQ14" s="21" t="s">
        <v>607</v>
      </c>
      <c r="AV14" s="20">
        <f aca="true" t="shared" si="14" ref="AV14:AV22">AW14+AX14</f>
        <v>0</v>
      </c>
      <c r="AW14" s="20">
        <f aca="true" t="shared" si="15" ref="AW14:AW22">K14*AO14</f>
        <v>0</v>
      </c>
      <c r="AX14" s="20">
        <f aca="true" t="shared" si="16" ref="AX14:AX22">K14*AP14</f>
        <v>0</v>
      </c>
      <c r="AY14" s="21" t="s">
        <v>1193</v>
      </c>
      <c r="AZ14" s="21" t="s">
        <v>1194</v>
      </c>
      <c r="BA14" s="10" t="s">
        <v>58</v>
      </c>
      <c r="BC14" s="20">
        <f aca="true" t="shared" si="17" ref="BC14:BC22">AW14+AX14</f>
        <v>0</v>
      </c>
      <c r="BD14" s="20">
        <f aca="true" t="shared" si="18" ref="BD14:BD22">L14/(100-BE14)*100</f>
        <v>0</v>
      </c>
      <c r="BE14" s="20">
        <v>0</v>
      </c>
      <c r="BF14" s="20">
        <f>14</f>
        <v>14</v>
      </c>
      <c r="BH14" s="20">
        <f aca="true" t="shared" si="19" ref="BH14:BH22">K14*AO14</f>
        <v>0</v>
      </c>
      <c r="BI14" s="20">
        <f aca="true" t="shared" si="20" ref="BI14:BI22">K14*AP14</f>
        <v>0</v>
      </c>
      <c r="BJ14" s="20">
        <f aca="true" t="shared" si="21" ref="BJ14:BJ22">K14*L14</f>
        <v>0</v>
      </c>
      <c r="BK14" s="20"/>
      <c r="BL14" s="20"/>
      <c r="BM14" s="20">
        <f aca="true" t="shared" si="22" ref="BM14:BM22">K14*L14</f>
        <v>0</v>
      </c>
    </row>
    <row r="15" spans="1:65" ht="15" customHeight="1">
      <c r="A15" s="2" t="s">
        <v>62</v>
      </c>
      <c r="B15" s="3" t="s">
        <v>1195</v>
      </c>
      <c r="C15" s="115" t="s">
        <v>1196</v>
      </c>
      <c r="D15" s="115"/>
      <c r="E15" s="115"/>
      <c r="F15" s="115"/>
      <c r="G15" s="115"/>
      <c r="H15" s="115"/>
      <c r="I15" s="115"/>
      <c r="J15" s="3" t="s">
        <v>1192</v>
      </c>
      <c r="K15" s="20">
        <v>1</v>
      </c>
      <c r="L15" s="106"/>
      <c r="M15" s="29">
        <f t="shared" si="0"/>
        <v>0</v>
      </c>
      <c r="Z15" s="20">
        <f t="shared" si="1"/>
        <v>0</v>
      </c>
      <c r="AB15" s="20">
        <f t="shared" si="2"/>
        <v>0</v>
      </c>
      <c r="AC15" s="20">
        <f t="shared" si="3"/>
        <v>0</v>
      </c>
      <c r="AD15" s="20">
        <f t="shared" si="4"/>
        <v>0</v>
      </c>
      <c r="AE15" s="20">
        <f t="shared" si="5"/>
        <v>0</v>
      </c>
      <c r="AF15" s="20">
        <f t="shared" si="6"/>
        <v>0</v>
      </c>
      <c r="AG15" s="20">
        <f t="shared" si="7"/>
        <v>0</v>
      </c>
      <c r="AH15" s="20">
        <f t="shared" si="8"/>
        <v>0</v>
      </c>
      <c r="AI15" s="10" t="s">
        <v>49</v>
      </c>
      <c r="AJ15" s="20">
        <f t="shared" si="9"/>
        <v>0</v>
      </c>
      <c r="AK15" s="20">
        <f t="shared" si="10"/>
        <v>0</v>
      </c>
      <c r="AL15" s="20">
        <f t="shared" si="11"/>
        <v>0</v>
      </c>
      <c r="AN15" s="20">
        <v>21</v>
      </c>
      <c r="AO15" s="20">
        <f t="shared" si="12"/>
        <v>0</v>
      </c>
      <c r="AP15" s="20">
        <f t="shared" si="13"/>
        <v>0</v>
      </c>
      <c r="AQ15" s="21" t="s">
        <v>607</v>
      </c>
      <c r="AV15" s="20">
        <f t="shared" si="14"/>
        <v>0</v>
      </c>
      <c r="AW15" s="20">
        <f t="shared" si="15"/>
        <v>0</v>
      </c>
      <c r="AX15" s="20">
        <f t="shared" si="16"/>
        <v>0</v>
      </c>
      <c r="AY15" s="21" t="s">
        <v>1193</v>
      </c>
      <c r="AZ15" s="21" t="s">
        <v>1194</v>
      </c>
      <c r="BA15" s="10" t="s">
        <v>58</v>
      </c>
      <c r="BC15" s="20">
        <f t="shared" si="17"/>
        <v>0</v>
      </c>
      <c r="BD15" s="20">
        <f t="shared" si="18"/>
        <v>0</v>
      </c>
      <c r="BE15" s="20">
        <v>0</v>
      </c>
      <c r="BF15" s="20">
        <f>15</f>
        <v>15</v>
      </c>
      <c r="BH15" s="20">
        <f t="shared" si="19"/>
        <v>0</v>
      </c>
      <c r="BI15" s="20">
        <f t="shared" si="20"/>
        <v>0</v>
      </c>
      <c r="BJ15" s="20">
        <f t="shared" si="21"/>
        <v>0</v>
      </c>
      <c r="BK15" s="20"/>
      <c r="BL15" s="20"/>
      <c r="BM15" s="20">
        <f t="shared" si="22"/>
        <v>0</v>
      </c>
    </row>
    <row r="16" spans="1:65" ht="15" customHeight="1">
      <c r="A16" s="2" t="s">
        <v>65</v>
      </c>
      <c r="B16" s="3" t="s">
        <v>1197</v>
      </c>
      <c r="C16" s="115" t="s">
        <v>1198</v>
      </c>
      <c r="D16" s="115"/>
      <c r="E16" s="115"/>
      <c r="F16" s="115"/>
      <c r="G16" s="115"/>
      <c r="H16" s="115"/>
      <c r="I16" s="115"/>
      <c r="J16" s="3" t="s">
        <v>1192</v>
      </c>
      <c r="K16" s="20">
        <v>1</v>
      </c>
      <c r="L16" s="106"/>
      <c r="M16" s="29">
        <f t="shared" si="0"/>
        <v>0</v>
      </c>
      <c r="Z16" s="20">
        <f t="shared" si="1"/>
        <v>0</v>
      </c>
      <c r="AB16" s="20">
        <f t="shared" si="2"/>
        <v>0</v>
      </c>
      <c r="AC16" s="20">
        <f t="shared" si="3"/>
        <v>0</v>
      </c>
      <c r="AD16" s="20">
        <f t="shared" si="4"/>
        <v>0</v>
      </c>
      <c r="AE16" s="20">
        <f t="shared" si="5"/>
        <v>0</v>
      </c>
      <c r="AF16" s="20">
        <f t="shared" si="6"/>
        <v>0</v>
      </c>
      <c r="AG16" s="20">
        <f t="shared" si="7"/>
        <v>0</v>
      </c>
      <c r="AH16" s="20">
        <f t="shared" si="8"/>
        <v>0</v>
      </c>
      <c r="AI16" s="10" t="s">
        <v>49</v>
      </c>
      <c r="AJ16" s="20">
        <f t="shared" si="9"/>
        <v>0</v>
      </c>
      <c r="AK16" s="20">
        <f t="shared" si="10"/>
        <v>0</v>
      </c>
      <c r="AL16" s="20">
        <f t="shared" si="11"/>
        <v>0</v>
      </c>
      <c r="AN16" s="20">
        <v>21</v>
      </c>
      <c r="AO16" s="20">
        <f t="shared" si="12"/>
        <v>0</v>
      </c>
      <c r="AP16" s="20">
        <f t="shared" si="13"/>
        <v>0</v>
      </c>
      <c r="AQ16" s="21" t="s">
        <v>607</v>
      </c>
      <c r="AV16" s="20">
        <f t="shared" si="14"/>
        <v>0</v>
      </c>
      <c r="AW16" s="20">
        <f t="shared" si="15"/>
        <v>0</v>
      </c>
      <c r="AX16" s="20">
        <f t="shared" si="16"/>
        <v>0</v>
      </c>
      <c r="AY16" s="21" t="s">
        <v>1193</v>
      </c>
      <c r="AZ16" s="21" t="s">
        <v>1194</v>
      </c>
      <c r="BA16" s="10" t="s">
        <v>58</v>
      </c>
      <c r="BC16" s="20">
        <f t="shared" si="17"/>
        <v>0</v>
      </c>
      <c r="BD16" s="20">
        <f t="shared" si="18"/>
        <v>0</v>
      </c>
      <c r="BE16" s="20">
        <v>0</v>
      </c>
      <c r="BF16" s="20">
        <f>16</f>
        <v>16</v>
      </c>
      <c r="BH16" s="20">
        <f t="shared" si="19"/>
        <v>0</v>
      </c>
      <c r="BI16" s="20">
        <f t="shared" si="20"/>
        <v>0</v>
      </c>
      <c r="BJ16" s="20">
        <f t="shared" si="21"/>
        <v>0</v>
      </c>
      <c r="BK16" s="20"/>
      <c r="BL16" s="20"/>
      <c r="BM16" s="20">
        <f t="shared" si="22"/>
        <v>0</v>
      </c>
    </row>
    <row r="17" spans="1:65" ht="15" customHeight="1">
      <c r="A17" s="2" t="s">
        <v>68</v>
      </c>
      <c r="B17" s="3" t="s">
        <v>1199</v>
      </c>
      <c r="C17" s="115" t="s">
        <v>1200</v>
      </c>
      <c r="D17" s="115"/>
      <c r="E17" s="115"/>
      <c r="F17" s="115"/>
      <c r="G17" s="115"/>
      <c r="H17" s="115"/>
      <c r="I17" s="115"/>
      <c r="J17" s="3" t="s">
        <v>1192</v>
      </c>
      <c r="K17" s="20">
        <v>1</v>
      </c>
      <c r="L17" s="106"/>
      <c r="M17" s="29">
        <f t="shared" si="0"/>
        <v>0</v>
      </c>
      <c r="Z17" s="20">
        <f t="shared" si="1"/>
        <v>0</v>
      </c>
      <c r="AB17" s="20">
        <f t="shared" si="2"/>
        <v>0</v>
      </c>
      <c r="AC17" s="20">
        <f t="shared" si="3"/>
        <v>0</v>
      </c>
      <c r="AD17" s="20">
        <f t="shared" si="4"/>
        <v>0</v>
      </c>
      <c r="AE17" s="20">
        <f t="shared" si="5"/>
        <v>0</v>
      </c>
      <c r="AF17" s="20">
        <f t="shared" si="6"/>
        <v>0</v>
      </c>
      <c r="AG17" s="20">
        <f t="shared" si="7"/>
        <v>0</v>
      </c>
      <c r="AH17" s="20">
        <f t="shared" si="8"/>
        <v>0</v>
      </c>
      <c r="AI17" s="10" t="s">
        <v>49</v>
      </c>
      <c r="AJ17" s="20">
        <f t="shared" si="9"/>
        <v>0</v>
      </c>
      <c r="AK17" s="20">
        <f t="shared" si="10"/>
        <v>0</v>
      </c>
      <c r="AL17" s="20">
        <f t="shared" si="11"/>
        <v>0</v>
      </c>
      <c r="AN17" s="20">
        <v>21</v>
      </c>
      <c r="AO17" s="20">
        <f t="shared" si="12"/>
        <v>0</v>
      </c>
      <c r="AP17" s="20">
        <f t="shared" si="13"/>
        <v>0</v>
      </c>
      <c r="AQ17" s="21" t="s">
        <v>607</v>
      </c>
      <c r="AV17" s="20">
        <f t="shared" si="14"/>
        <v>0</v>
      </c>
      <c r="AW17" s="20">
        <f t="shared" si="15"/>
        <v>0</v>
      </c>
      <c r="AX17" s="20">
        <f t="shared" si="16"/>
        <v>0</v>
      </c>
      <c r="AY17" s="21" t="s">
        <v>1193</v>
      </c>
      <c r="AZ17" s="21" t="s">
        <v>1194</v>
      </c>
      <c r="BA17" s="10" t="s">
        <v>58</v>
      </c>
      <c r="BC17" s="20">
        <f t="shared" si="17"/>
        <v>0</v>
      </c>
      <c r="BD17" s="20">
        <f t="shared" si="18"/>
        <v>0</v>
      </c>
      <c r="BE17" s="20">
        <v>0</v>
      </c>
      <c r="BF17" s="20">
        <f>17</f>
        <v>17</v>
      </c>
      <c r="BH17" s="20">
        <f t="shared" si="19"/>
        <v>0</v>
      </c>
      <c r="BI17" s="20">
        <f t="shared" si="20"/>
        <v>0</v>
      </c>
      <c r="BJ17" s="20">
        <f t="shared" si="21"/>
        <v>0</v>
      </c>
      <c r="BK17" s="20"/>
      <c r="BL17" s="20"/>
      <c r="BM17" s="20">
        <f t="shared" si="22"/>
        <v>0</v>
      </c>
    </row>
    <row r="18" spans="1:65" ht="15" customHeight="1">
      <c r="A18" s="2" t="s">
        <v>73</v>
      </c>
      <c r="B18" s="3" t="s">
        <v>1201</v>
      </c>
      <c r="C18" s="115" t="s">
        <v>1202</v>
      </c>
      <c r="D18" s="115"/>
      <c r="E18" s="115"/>
      <c r="F18" s="115"/>
      <c r="G18" s="115"/>
      <c r="H18" s="115"/>
      <c r="I18" s="115"/>
      <c r="J18" s="3" t="s">
        <v>1192</v>
      </c>
      <c r="K18" s="20">
        <v>1</v>
      </c>
      <c r="L18" s="106"/>
      <c r="M18" s="29">
        <f t="shared" si="0"/>
        <v>0</v>
      </c>
      <c r="Z18" s="20">
        <f t="shared" si="1"/>
        <v>0</v>
      </c>
      <c r="AB18" s="20">
        <f t="shared" si="2"/>
        <v>0</v>
      </c>
      <c r="AC18" s="20">
        <f t="shared" si="3"/>
        <v>0</v>
      </c>
      <c r="AD18" s="20">
        <f t="shared" si="4"/>
        <v>0</v>
      </c>
      <c r="AE18" s="20">
        <f t="shared" si="5"/>
        <v>0</v>
      </c>
      <c r="AF18" s="20">
        <f t="shared" si="6"/>
        <v>0</v>
      </c>
      <c r="AG18" s="20">
        <f t="shared" si="7"/>
        <v>0</v>
      </c>
      <c r="AH18" s="20">
        <f t="shared" si="8"/>
        <v>0</v>
      </c>
      <c r="AI18" s="10" t="s">
        <v>49</v>
      </c>
      <c r="AJ18" s="20">
        <f t="shared" si="9"/>
        <v>0</v>
      </c>
      <c r="AK18" s="20">
        <f t="shared" si="10"/>
        <v>0</v>
      </c>
      <c r="AL18" s="20">
        <f t="shared" si="11"/>
        <v>0</v>
      </c>
      <c r="AN18" s="20">
        <v>21</v>
      </c>
      <c r="AO18" s="20">
        <f t="shared" si="12"/>
        <v>0</v>
      </c>
      <c r="AP18" s="20">
        <f t="shared" si="13"/>
        <v>0</v>
      </c>
      <c r="AQ18" s="21" t="s">
        <v>607</v>
      </c>
      <c r="AV18" s="20">
        <f t="shared" si="14"/>
        <v>0</v>
      </c>
      <c r="AW18" s="20">
        <f t="shared" si="15"/>
        <v>0</v>
      </c>
      <c r="AX18" s="20">
        <f t="shared" si="16"/>
        <v>0</v>
      </c>
      <c r="AY18" s="21" t="s">
        <v>1193</v>
      </c>
      <c r="AZ18" s="21" t="s">
        <v>1194</v>
      </c>
      <c r="BA18" s="10" t="s">
        <v>58</v>
      </c>
      <c r="BC18" s="20">
        <f t="shared" si="17"/>
        <v>0</v>
      </c>
      <c r="BD18" s="20">
        <f t="shared" si="18"/>
        <v>0</v>
      </c>
      <c r="BE18" s="20">
        <v>0</v>
      </c>
      <c r="BF18" s="20">
        <f>18</f>
        <v>18</v>
      </c>
      <c r="BH18" s="20">
        <f t="shared" si="19"/>
        <v>0</v>
      </c>
      <c r="BI18" s="20">
        <f t="shared" si="20"/>
        <v>0</v>
      </c>
      <c r="BJ18" s="20">
        <f t="shared" si="21"/>
        <v>0</v>
      </c>
      <c r="BK18" s="20"/>
      <c r="BL18" s="20"/>
      <c r="BM18" s="20">
        <f t="shared" si="22"/>
        <v>0</v>
      </c>
    </row>
    <row r="19" spans="1:65" ht="15" customHeight="1">
      <c r="A19" s="2" t="s">
        <v>59</v>
      </c>
      <c r="B19" s="3" t="s">
        <v>1203</v>
      </c>
      <c r="C19" s="115" t="s">
        <v>1204</v>
      </c>
      <c r="D19" s="115"/>
      <c r="E19" s="115"/>
      <c r="F19" s="115"/>
      <c r="G19" s="115"/>
      <c r="H19" s="115"/>
      <c r="I19" s="115"/>
      <c r="J19" s="3" t="s">
        <v>1192</v>
      </c>
      <c r="K19" s="20">
        <v>1</v>
      </c>
      <c r="L19" s="106"/>
      <c r="M19" s="29">
        <f t="shared" si="0"/>
        <v>0</v>
      </c>
      <c r="Z19" s="20">
        <f t="shared" si="1"/>
        <v>0</v>
      </c>
      <c r="AB19" s="20">
        <f t="shared" si="2"/>
        <v>0</v>
      </c>
      <c r="AC19" s="20">
        <f t="shared" si="3"/>
        <v>0</v>
      </c>
      <c r="AD19" s="20">
        <f t="shared" si="4"/>
        <v>0</v>
      </c>
      <c r="AE19" s="20">
        <f t="shared" si="5"/>
        <v>0</v>
      </c>
      <c r="AF19" s="20">
        <f t="shared" si="6"/>
        <v>0</v>
      </c>
      <c r="AG19" s="20">
        <f t="shared" si="7"/>
        <v>0</v>
      </c>
      <c r="AH19" s="20">
        <f t="shared" si="8"/>
        <v>0</v>
      </c>
      <c r="AI19" s="10" t="s">
        <v>49</v>
      </c>
      <c r="AJ19" s="20">
        <f t="shared" si="9"/>
        <v>0</v>
      </c>
      <c r="AK19" s="20">
        <f t="shared" si="10"/>
        <v>0</v>
      </c>
      <c r="AL19" s="20">
        <f t="shared" si="11"/>
        <v>0</v>
      </c>
      <c r="AN19" s="20">
        <v>21</v>
      </c>
      <c r="AO19" s="20">
        <f t="shared" si="12"/>
        <v>0</v>
      </c>
      <c r="AP19" s="20">
        <f t="shared" si="13"/>
        <v>0</v>
      </c>
      <c r="AQ19" s="21" t="s">
        <v>607</v>
      </c>
      <c r="AV19" s="20">
        <f t="shared" si="14"/>
        <v>0</v>
      </c>
      <c r="AW19" s="20">
        <f t="shared" si="15"/>
        <v>0</v>
      </c>
      <c r="AX19" s="20">
        <f t="shared" si="16"/>
        <v>0</v>
      </c>
      <c r="AY19" s="21" t="s">
        <v>1193</v>
      </c>
      <c r="AZ19" s="21" t="s">
        <v>1194</v>
      </c>
      <c r="BA19" s="10" t="s">
        <v>58</v>
      </c>
      <c r="BC19" s="20">
        <f t="shared" si="17"/>
        <v>0</v>
      </c>
      <c r="BD19" s="20">
        <f t="shared" si="18"/>
        <v>0</v>
      </c>
      <c r="BE19" s="20">
        <v>0</v>
      </c>
      <c r="BF19" s="20">
        <f>19</f>
        <v>19</v>
      </c>
      <c r="BH19" s="20">
        <f t="shared" si="19"/>
        <v>0</v>
      </c>
      <c r="BI19" s="20">
        <f t="shared" si="20"/>
        <v>0</v>
      </c>
      <c r="BJ19" s="20">
        <f t="shared" si="21"/>
        <v>0</v>
      </c>
      <c r="BK19" s="20"/>
      <c r="BL19" s="20"/>
      <c r="BM19" s="20">
        <f t="shared" si="22"/>
        <v>0</v>
      </c>
    </row>
    <row r="20" spans="1:65" ht="15" customHeight="1">
      <c r="A20" s="2" t="s">
        <v>82</v>
      </c>
      <c r="B20" s="3" t="s">
        <v>1205</v>
      </c>
      <c r="C20" s="115" t="s">
        <v>1206</v>
      </c>
      <c r="D20" s="115"/>
      <c r="E20" s="115"/>
      <c r="F20" s="115"/>
      <c r="G20" s="115"/>
      <c r="H20" s="115"/>
      <c r="I20" s="115"/>
      <c r="J20" s="3" t="s">
        <v>1192</v>
      </c>
      <c r="K20" s="20">
        <v>1</v>
      </c>
      <c r="L20" s="106"/>
      <c r="M20" s="29">
        <f t="shared" si="0"/>
        <v>0</v>
      </c>
      <c r="Z20" s="20">
        <f t="shared" si="1"/>
        <v>0</v>
      </c>
      <c r="AB20" s="20">
        <f t="shared" si="2"/>
        <v>0</v>
      </c>
      <c r="AC20" s="20">
        <f t="shared" si="3"/>
        <v>0</v>
      </c>
      <c r="AD20" s="20">
        <f t="shared" si="4"/>
        <v>0</v>
      </c>
      <c r="AE20" s="20">
        <f t="shared" si="5"/>
        <v>0</v>
      </c>
      <c r="AF20" s="20">
        <f t="shared" si="6"/>
        <v>0</v>
      </c>
      <c r="AG20" s="20">
        <f t="shared" si="7"/>
        <v>0</v>
      </c>
      <c r="AH20" s="20">
        <f t="shared" si="8"/>
        <v>0</v>
      </c>
      <c r="AI20" s="10" t="s">
        <v>49</v>
      </c>
      <c r="AJ20" s="20">
        <f t="shared" si="9"/>
        <v>0</v>
      </c>
      <c r="AK20" s="20">
        <f t="shared" si="10"/>
        <v>0</v>
      </c>
      <c r="AL20" s="20">
        <f t="shared" si="11"/>
        <v>0</v>
      </c>
      <c r="AN20" s="20">
        <v>21</v>
      </c>
      <c r="AO20" s="20">
        <f t="shared" si="12"/>
        <v>0</v>
      </c>
      <c r="AP20" s="20">
        <f t="shared" si="13"/>
        <v>0</v>
      </c>
      <c r="AQ20" s="21" t="s">
        <v>607</v>
      </c>
      <c r="AV20" s="20">
        <f t="shared" si="14"/>
        <v>0</v>
      </c>
      <c r="AW20" s="20">
        <f t="shared" si="15"/>
        <v>0</v>
      </c>
      <c r="AX20" s="20">
        <f t="shared" si="16"/>
        <v>0</v>
      </c>
      <c r="AY20" s="21" t="s">
        <v>1193</v>
      </c>
      <c r="AZ20" s="21" t="s">
        <v>1194</v>
      </c>
      <c r="BA20" s="10" t="s">
        <v>58</v>
      </c>
      <c r="BC20" s="20">
        <f t="shared" si="17"/>
        <v>0</v>
      </c>
      <c r="BD20" s="20">
        <f t="shared" si="18"/>
        <v>0</v>
      </c>
      <c r="BE20" s="20">
        <v>0</v>
      </c>
      <c r="BF20" s="20">
        <f>20</f>
        <v>20</v>
      </c>
      <c r="BH20" s="20">
        <f t="shared" si="19"/>
        <v>0</v>
      </c>
      <c r="BI20" s="20">
        <f t="shared" si="20"/>
        <v>0</v>
      </c>
      <c r="BJ20" s="20">
        <f t="shared" si="21"/>
        <v>0</v>
      </c>
      <c r="BK20" s="20"/>
      <c r="BL20" s="20"/>
      <c r="BM20" s="20">
        <f t="shared" si="22"/>
        <v>0</v>
      </c>
    </row>
    <row r="21" spans="1:65" ht="15" customHeight="1">
      <c r="A21" s="2" t="s">
        <v>71</v>
      </c>
      <c r="B21" s="3" t="s">
        <v>1207</v>
      </c>
      <c r="C21" s="115" t="s">
        <v>1208</v>
      </c>
      <c r="D21" s="115"/>
      <c r="E21" s="115"/>
      <c r="F21" s="115"/>
      <c r="G21" s="115"/>
      <c r="H21" s="115"/>
      <c r="I21" s="115"/>
      <c r="J21" s="3" t="s">
        <v>1192</v>
      </c>
      <c r="K21" s="20">
        <v>1</v>
      </c>
      <c r="L21" s="106"/>
      <c r="M21" s="29">
        <f t="shared" si="0"/>
        <v>0</v>
      </c>
      <c r="Z21" s="20">
        <f t="shared" si="1"/>
        <v>0</v>
      </c>
      <c r="AB21" s="20">
        <f t="shared" si="2"/>
        <v>0</v>
      </c>
      <c r="AC21" s="20">
        <f t="shared" si="3"/>
        <v>0</v>
      </c>
      <c r="AD21" s="20">
        <f t="shared" si="4"/>
        <v>0</v>
      </c>
      <c r="AE21" s="20">
        <f t="shared" si="5"/>
        <v>0</v>
      </c>
      <c r="AF21" s="20">
        <f t="shared" si="6"/>
        <v>0</v>
      </c>
      <c r="AG21" s="20">
        <f t="shared" si="7"/>
        <v>0</v>
      </c>
      <c r="AH21" s="20">
        <f t="shared" si="8"/>
        <v>0</v>
      </c>
      <c r="AI21" s="10" t="s">
        <v>49</v>
      </c>
      <c r="AJ21" s="20">
        <f t="shared" si="9"/>
        <v>0</v>
      </c>
      <c r="AK21" s="20">
        <f t="shared" si="10"/>
        <v>0</v>
      </c>
      <c r="AL21" s="20">
        <f t="shared" si="11"/>
        <v>0</v>
      </c>
      <c r="AN21" s="20">
        <v>21</v>
      </c>
      <c r="AO21" s="20">
        <f t="shared" si="12"/>
        <v>0</v>
      </c>
      <c r="AP21" s="20">
        <f t="shared" si="13"/>
        <v>0</v>
      </c>
      <c r="AQ21" s="21" t="s">
        <v>607</v>
      </c>
      <c r="AV21" s="20">
        <f t="shared" si="14"/>
        <v>0</v>
      </c>
      <c r="AW21" s="20">
        <f t="shared" si="15"/>
        <v>0</v>
      </c>
      <c r="AX21" s="20">
        <f t="shared" si="16"/>
        <v>0</v>
      </c>
      <c r="AY21" s="21" t="s">
        <v>1193</v>
      </c>
      <c r="AZ21" s="21" t="s">
        <v>1194</v>
      </c>
      <c r="BA21" s="10" t="s">
        <v>58</v>
      </c>
      <c r="BC21" s="20">
        <f t="shared" si="17"/>
        <v>0</v>
      </c>
      <c r="BD21" s="20">
        <f t="shared" si="18"/>
        <v>0</v>
      </c>
      <c r="BE21" s="20">
        <v>0</v>
      </c>
      <c r="BF21" s="20">
        <f>21</f>
        <v>21</v>
      </c>
      <c r="BH21" s="20">
        <f t="shared" si="19"/>
        <v>0</v>
      </c>
      <c r="BI21" s="20">
        <f t="shared" si="20"/>
        <v>0</v>
      </c>
      <c r="BJ21" s="20">
        <f t="shared" si="21"/>
        <v>0</v>
      </c>
      <c r="BK21" s="20"/>
      <c r="BL21" s="20"/>
      <c r="BM21" s="20">
        <f t="shared" si="22"/>
        <v>0</v>
      </c>
    </row>
    <row r="22" spans="1:65" ht="15" customHeight="1">
      <c r="A22" s="31" t="s">
        <v>101</v>
      </c>
      <c r="B22" s="3" t="s">
        <v>1209</v>
      </c>
      <c r="C22" s="115" t="s">
        <v>1289</v>
      </c>
      <c r="D22" s="115"/>
      <c r="E22" s="115"/>
      <c r="F22" s="115"/>
      <c r="G22" s="115"/>
      <c r="H22" s="115"/>
      <c r="I22" s="115"/>
      <c r="J22" s="3" t="s">
        <v>1192</v>
      </c>
      <c r="K22" s="20">
        <v>1</v>
      </c>
      <c r="L22" s="106"/>
      <c r="M22" s="32">
        <f t="shared" si="0"/>
        <v>0</v>
      </c>
      <c r="Z22" s="20">
        <f t="shared" si="1"/>
        <v>0</v>
      </c>
      <c r="AB22" s="20">
        <f t="shared" si="2"/>
        <v>0</v>
      </c>
      <c r="AC22" s="20">
        <f t="shared" si="3"/>
        <v>0</v>
      </c>
      <c r="AD22" s="20">
        <f t="shared" si="4"/>
        <v>0</v>
      </c>
      <c r="AE22" s="20">
        <f t="shared" si="5"/>
        <v>0</v>
      </c>
      <c r="AF22" s="20">
        <f t="shared" si="6"/>
        <v>0</v>
      </c>
      <c r="AG22" s="20">
        <f t="shared" si="7"/>
        <v>0</v>
      </c>
      <c r="AH22" s="20">
        <f t="shared" si="8"/>
        <v>0</v>
      </c>
      <c r="AI22" s="11" t="s">
        <v>49</v>
      </c>
      <c r="AJ22" s="20">
        <f t="shared" si="9"/>
        <v>0</v>
      </c>
      <c r="AK22" s="20">
        <f t="shared" si="10"/>
        <v>0</v>
      </c>
      <c r="AL22" s="20">
        <f t="shared" si="11"/>
        <v>0</v>
      </c>
      <c r="AN22" s="20">
        <v>21</v>
      </c>
      <c r="AO22" s="20">
        <f t="shared" si="12"/>
        <v>0</v>
      </c>
      <c r="AP22" s="20">
        <f t="shared" si="13"/>
        <v>0</v>
      </c>
      <c r="AQ22" s="21" t="s">
        <v>607</v>
      </c>
      <c r="AV22" s="20">
        <f t="shared" si="14"/>
        <v>0</v>
      </c>
      <c r="AW22" s="20">
        <f t="shared" si="15"/>
        <v>0</v>
      </c>
      <c r="AX22" s="20">
        <f t="shared" si="16"/>
        <v>0</v>
      </c>
      <c r="AY22" s="21" t="s">
        <v>1193</v>
      </c>
      <c r="AZ22" s="21" t="s">
        <v>1194</v>
      </c>
      <c r="BA22" s="11" t="s">
        <v>58</v>
      </c>
      <c r="BC22" s="20">
        <f t="shared" si="17"/>
        <v>0</v>
      </c>
      <c r="BD22" s="20">
        <f t="shared" si="18"/>
        <v>0</v>
      </c>
      <c r="BE22" s="20">
        <v>0</v>
      </c>
      <c r="BF22" s="20">
        <f>22</f>
        <v>22</v>
      </c>
      <c r="BH22" s="20">
        <f t="shared" si="19"/>
        <v>0</v>
      </c>
      <c r="BI22" s="20">
        <f t="shared" si="20"/>
        <v>0</v>
      </c>
      <c r="BJ22" s="20">
        <f t="shared" si="21"/>
        <v>0</v>
      </c>
      <c r="BK22" s="20"/>
      <c r="BL22" s="20"/>
      <c r="BM22" s="20">
        <f t="shared" si="22"/>
        <v>0</v>
      </c>
    </row>
    <row r="23" spans="1:47" ht="15" customHeight="1">
      <c r="A23" s="16" t="s">
        <v>49</v>
      </c>
      <c r="B23" s="17" t="s">
        <v>1210</v>
      </c>
      <c r="C23" s="144" t="s">
        <v>1211</v>
      </c>
      <c r="D23" s="144"/>
      <c r="E23" s="144"/>
      <c r="F23" s="144"/>
      <c r="G23" s="144"/>
      <c r="H23" s="144"/>
      <c r="I23" s="144"/>
      <c r="J23" s="18" t="s">
        <v>3</v>
      </c>
      <c r="K23" s="18" t="s">
        <v>3</v>
      </c>
      <c r="L23" s="18" t="s">
        <v>3</v>
      </c>
      <c r="M23" s="28">
        <f>SUM(M24:M46)</f>
        <v>0</v>
      </c>
      <c r="AI23" s="10" t="s">
        <v>49</v>
      </c>
      <c r="AS23" s="19">
        <f>SUM(AJ24:AJ46)</f>
        <v>0</v>
      </c>
      <c r="AT23" s="19">
        <f>SUM(AK24:AK46)</f>
        <v>0</v>
      </c>
      <c r="AU23" s="19">
        <f>SUM(AL24:AL46)</f>
        <v>0</v>
      </c>
    </row>
    <row r="24" spans="1:74" ht="15" customHeight="1">
      <c r="A24" s="2" t="s">
        <v>111</v>
      </c>
      <c r="B24" s="3" t="s">
        <v>1212</v>
      </c>
      <c r="C24" s="115" t="s">
        <v>1213</v>
      </c>
      <c r="D24" s="115"/>
      <c r="E24" s="115"/>
      <c r="F24" s="115"/>
      <c r="G24" s="115"/>
      <c r="H24" s="115"/>
      <c r="I24" s="115"/>
      <c r="J24" s="3" t="s">
        <v>1192</v>
      </c>
      <c r="K24" s="20">
        <v>1</v>
      </c>
      <c r="L24" s="106"/>
      <c r="M24" s="29">
        <f aca="true" t="shared" si="23" ref="M24:M46">K24*L24</f>
        <v>0</v>
      </c>
      <c r="Z24" s="20">
        <f aca="true" t="shared" si="24" ref="Z24:Z46">IF(AQ24="5",BJ24,0)</f>
        <v>0</v>
      </c>
      <c r="AB24" s="20">
        <f aca="true" t="shared" si="25" ref="AB24:AB46">IF(AQ24="1",BH24,0)</f>
        <v>0</v>
      </c>
      <c r="AC24" s="20">
        <f aca="true" t="shared" si="26" ref="AC24:AC46">IF(AQ24="1",BI24,0)</f>
        <v>0</v>
      </c>
      <c r="AD24" s="20">
        <f aca="true" t="shared" si="27" ref="AD24:AD46">IF(AQ24="7",BH24,0)</f>
        <v>0</v>
      </c>
      <c r="AE24" s="20">
        <f aca="true" t="shared" si="28" ref="AE24:AE46">IF(AQ24="7",BI24,0)</f>
        <v>0</v>
      </c>
      <c r="AF24" s="20">
        <f aca="true" t="shared" si="29" ref="AF24:AF46">IF(AQ24="2",BH24,0)</f>
        <v>0</v>
      </c>
      <c r="AG24" s="20">
        <f aca="true" t="shared" si="30" ref="AG24:AG46">IF(AQ24="2",BI24,0)</f>
        <v>0</v>
      </c>
      <c r="AH24" s="20">
        <f aca="true" t="shared" si="31" ref="AH24:AH46">IF(AQ24="0",BJ24,0)</f>
        <v>0</v>
      </c>
      <c r="AI24" s="10" t="s">
        <v>49</v>
      </c>
      <c r="AJ24" s="20">
        <f aca="true" t="shared" si="32" ref="AJ24:AJ46">IF(AN24=0,M24,0)</f>
        <v>0</v>
      </c>
      <c r="AK24" s="20">
        <f aca="true" t="shared" si="33" ref="AK24:AK46">IF(AN24=15,M24,0)</f>
        <v>0</v>
      </c>
      <c r="AL24" s="20">
        <f aca="true" t="shared" si="34" ref="AL24:AL46">IF(AN24=21,M24,0)</f>
        <v>0</v>
      </c>
      <c r="AN24" s="20">
        <v>21</v>
      </c>
      <c r="AO24" s="20">
        <f aca="true" t="shared" si="35" ref="AO24:AO46">L24*0</f>
        <v>0</v>
      </c>
      <c r="AP24" s="20">
        <f aca="true" t="shared" si="36" ref="AP24:AP46">L24*(1-0)</f>
        <v>0</v>
      </c>
      <c r="AQ24" s="21" t="s">
        <v>607</v>
      </c>
      <c r="AV24" s="20">
        <f aca="true" t="shared" si="37" ref="AV24:AV46">AW24+AX24</f>
        <v>0</v>
      </c>
      <c r="AW24" s="20">
        <f aca="true" t="shared" si="38" ref="AW24:AW46">K24*AO24</f>
        <v>0</v>
      </c>
      <c r="AX24" s="20">
        <f aca="true" t="shared" si="39" ref="AX24:AX46">K24*AP24</f>
        <v>0</v>
      </c>
      <c r="AY24" s="21" t="s">
        <v>1214</v>
      </c>
      <c r="AZ24" s="21" t="s">
        <v>1194</v>
      </c>
      <c r="BA24" s="10" t="s">
        <v>58</v>
      </c>
      <c r="BC24" s="20">
        <f aca="true" t="shared" si="40" ref="BC24:BC46">AW24+AX24</f>
        <v>0</v>
      </c>
      <c r="BD24" s="20">
        <f aca="true" t="shared" si="41" ref="BD24:BD46">L24/(100-BE24)*100</f>
        <v>0</v>
      </c>
      <c r="BE24" s="20">
        <v>0</v>
      </c>
      <c r="BF24" s="20">
        <f>24</f>
        <v>24</v>
      </c>
      <c r="BH24" s="20">
        <f aca="true" t="shared" si="42" ref="BH24:BH46">K24*AO24</f>
        <v>0</v>
      </c>
      <c r="BI24" s="20">
        <f aca="true" t="shared" si="43" ref="BI24:BI46">K24*AP24</f>
        <v>0</v>
      </c>
      <c r="BJ24" s="20">
        <f aca="true" t="shared" si="44" ref="BJ24:BJ46">K24*L24</f>
        <v>0</v>
      </c>
      <c r="BK24" s="20"/>
      <c r="BL24" s="20"/>
      <c r="BV24" s="20">
        <f aca="true" t="shared" si="45" ref="BV24:BV46">K24*L24</f>
        <v>0</v>
      </c>
    </row>
    <row r="25" spans="1:74" ht="15" customHeight="1">
      <c r="A25" s="2" t="s">
        <v>50</v>
      </c>
      <c r="B25" s="3" t="s">
        <v>1215</v>
      </c>
      <c r="C25" s="115" t="s">
        <v>1216</v>
      </c>
      <c r="D25" s="115"/>
      <c r="E25" s="115"/>
      <c r="F25" s="115"/>
      <c r="G25" s="115"/>
      <c r="H25" s="115"/>
      <c r="I25" s="115"/>
      <c r="J25" s="3" t="s">
        <v>1192</v>
      </c>
      <c r="K25" s="20">
        <v>1</v>
      </c>
      <c r="L25" s="106"/>
      <c r="M25" s="29">
        <f t="shared" si="23"/>
        <v>0</v>
      </c>
      <c r="Z25" s="20">
        <f t="shared" si="24"/>
        <v>0</v>
      </c>
      <c r="AB25" s="20">
        <f t="shared" si="25"/>
        <v>0</v>
      </c>
      <c r="AC25" s="20">
        <f t="shared" si="26"/>
        <v>0</v>
      </c>
      <c r="AD25" s="20">
        <f t="shared" si="27"/>
        <v>0</v>
      </c>
      <c r="AE25" s="20">
        <f t="shared" si="28"/>
        <v>0</v>
      </c>
      <c r="AF25" s="20">
        <f t="shared" si="29"/>
        <v>0</v>
      </c>
      <c r="AG25" s="20">
        <f t="shared" si="30"/>
        <v>0</v>
      </c>
      <c r="AH25" s="20">
        <f t="shared" si="31"/>
        <v>0</v>
      </c>
      <c r="AI25" s="10" t="s">
        <v>49</v>
      </c>
      <c r="AJ25" s="20">
        <f t="shared" si="32"/>
        <v>0</v>
      </c>
      <c r="AK25" s="20">
        <f t="shared" si="33"/>
        <v>0</v>
      </c>
      <c r="AL25" s="20">
        <f t="shared" si="34"/>
        <v>0</v>
      </c>
      <c r="AN25" s="20">
        <v>21</v>
      </c>
      <c r="AO25" s="20">
        <f t="shared" si="35"/>
        <v>0</v>
      </c>
      <c r="AP25" s="20">
        <f t="shared" si="36"/>
        <v>0</v>
      </c>
      <c r="AQ25" s="21" t="s">
        <v>607</v>
      </c>
      <c r="AV25" s="20">
        <f t="shared" si="37"/>
        <v>0</v>
      </c>
      <c r="AW25" s="20">
        <f t="shared" si="38"/>
        <v>0</v>
      </c>
      <c r="AX25" s="20">
        <f t="shared" si="39"/>
        <v>0</v>
      </c>
      <c r="AY25" s="21" t="s">
        <v>1214</v>
      </c>
      <c r="AZ25" s="21" t="s">
        <v>1194</v>
      </c>
      <c r="BA25" s="10" t="s">
        <v>58</v>
      </c>
      <c r="BC25" s="20">
        <f t="shared" si="40"/>
        <v>0</v>
      </c>
      <c r="BD25" s="20">
        <f t="shared" si="41"/>
        <v>0</v>
      </c>
      <c r="BE25" s="20">
        <v>0</v>
      </c>
      <c r="BF25" s="20">
        <f>25</f>
        <v>25</v>
      </c>
      <c r="BH25" s="20">
        <f t="shared" si="42"/>
        <v>0</v>
      </c>
      <c r="BI25" s="20">
        <f t="shared" si="43"/>
        <v>0</v>
      </c>
      <c r="BJ25" s="20">
        <f t="shared" si="44"/>
        <v>0</v>
      </c>
      <c r="BK25" s="20"/>
      <c r="BL25" s="20"/>
      <c r="BV25" s="20">
        <f t="shared" si="45"/>
        <v>0</v>
      </c>
    </row>
    <row r="26" spans="1:74" ht="15" customHeight="1">
      <c r="A26" s="2" t="s">
        <v>123</v>
      </c>
      <c r="B26" s="3" t="s">
        <v>1217</v>
      </c>
      <c r="C26" s="115" t="s">
        <v>1218</v>
      </c>
      <c r="D26" s="115"/>
      <c r="E26" s="115"/>
      <c r="F26" s="115"/>
      <c r="G26" s="115"/>
      <c r="H26" s="115"/>
      <c r="I26" s="115"/>
      <c r="J26" s="3" t="s">
        <v>1192</v>
      </c>
      <c r="K26" s="20">
        <v>3</v>
      </c>
      <c r="L26" s="106"/>
      <c r="M26" s="29">
        <f t="shared" si="23"/>
        <v>0</v>
      </c>
      <c r="Z26" s="20">
        <f t="shared" si="24"/>
        <v>0</v>
      </c>
      <c r="AB26" s="20">
        <f t="shared" si="25"/>
        <v>0</v>
      </c>
      <c r="AC26" s="20">
        <f t="shared" si="26"/>
        <v>0</v>
      </c>
      <c r="AD26" s="20">
        <f t="shared" si="27"/>
        <v>0</v>
      </c>
      <c r="AE26" s="20">
        <f t="shared" si="28"/>
        <v>0</v>
      </c>
      <c r="AF26" s="20">
        <f t="shared" si="29"/>
        <v>0</v>
      </c>
      <c r="AG26" s="20">
        <f t="shared" si="30"/>
        <v>0</v>
      </c>
      <c r="AH26" s="20">
        <f t="shared" si="31"/>
        <v>0</v>
      </c>
      <c r="AI26" s="10" t="s">
        <v>49</v>
      </c>
      <c r="AJ26" s="20">
        <f t="shared" si="32"/>
        <v>0</v>
      </c>
      <c r="AK26" s="20">
        <f t="shared" si="33"/>
        <v>0</v>
      </c>
      <c r="AL26" s="20">
        <f t="shared" si="34"/>
        <v>0</v>
      </c>
      <c r="AN26" s="20">
        <v>21</v>
      </c>
      <c r="AO26" s="20">
        <f t="shared" si="35"/>
        <v>0</v>
      </c>
      <c r="AP26" s="20">
        <f t="shared" si="36"/>
        <v>0</v>
      </c>
      <c r="AQ26" s="21" t="s">
        <v>607</v>
      </c>
      <c r="AV26" s="20">
        <f t="shared" si="37"/>
        <v>0</v>
      </c>
      <c r="AW26" s="20">
        <f t="shared" si="38"/>
        <v>0</v>
      </c>
      <c r="AX26" s="20">
        <f t="shared" si="39"/>
        <v>0</v>
      </c>
      <c r="AY26" s="21" t="s">
        <v>1214</v>
      </c>
      <c r="AZ26" s="21" t="s">
        <v>1194</v>
      </c>
      <c r="BA26" s="10" t="s">
        <v>58</v>
      </c>
      <c r="BC26" s="20">
        <f t="shared" si="40"/>
        <v>0</v>
      </c>
      <c r="BD26" s="20">
        <f t="shared" si="41"/>
        <v>0</v>
      </c>
      <c r="BE26" s="20">
        <v>0</v>
      </c>
      <c r="BF26" s="20">
        <f>26</f>
        <v>26</v>
      </c>
      <c r="BH26" s="20">
        <f t="shared" si="42"/>
        <v>0</v>
      </c>
      <c r="BI26" s="20">
        <f t="shared" si="43"/>
        <v>0</v>
      </c>
      <c r="BJ26" s="20">
        <f t="shared" si="44"/>
        <v>0</v>
      </c>
      <c r="BK26" s="20"/>
      <c r="BL26" s="20"/>
      <c r="BV26" s="20">
        <f t="shared" si="45"/>
        <v>0</v>
      </c>
    </row>
    <row r="27" spans="1:74" ht="15" customHeight="1">
      <c r="A27" s="2" t="s">
        <v>132</v>
      </c>
      <c r="B27" s="3" t="s">
        <v>1219</v>
      </c>
      <c r="C27" s="115" t="s">
        <v>1220</v>
      </c>
      <c r="D27" s="115"/>
      <c r="E27" s="115"/>
      <c r="F27" s="115"/>
      <c r="G27" s="115"/>
      <c r="H27" s="115"/>
      <c r="I27" s="115"/>
      <c r="J27" s="3" t="s">
        <v>1192</v>
      </c>
      <c r="K27" s="20">
        <v>1</v>
      </c>
      <c r="L27" s="106"/>
      <c r="M27" s="29">
        <f t="shared" si="23"/>
        <v>0</v>
      </c>
      <c r="Z27" s="20">
        <f t="shared" si="24"/>
        <v>0</v>
      </c>
      <c r="AB27" s="20">
        <f t="shared" si="25"/>
        <v>0</v>
      </c>
      <c r="AC27" s="20">
        <f t="shared" si="26"/>
        <v>0</v>
      </c>
      <c r="AD27" s="20">
        <f t="shared" si="27"/>
        <v>0</v>
      </c>
      <c r="AE27" s="20">
        <f t="shared" si="28"/>
        <v>0</v>
      </c>
      <c r="AF27" s="20">
        <f t="shared" si="29"/>
        <v>0</v>
      </c>
      <c r="AG27" s="20">
        <f t="shared" si="30"/>
        <v>0</v>
      </c>
      <c r="AH27" s="20">
        <f t="shared" si="31"/>
        <v>0</v>
      </c>
      <c r="AI27" s="10" t="s">
        <v>49</v>
      </c>
      <c r="AJ27" s="20">
        <f t="shared" si="32"/>
        <v>0</v>
      </c>
      <c r="AK27" s="20">
        <f t="shared" si="33"/>
        <v>0</v>
      </c>
      <c r="AL27" s="20">
        <f t="shared" si="34"/>
        <v>0</v>
      </c>
      <c r="AN27" s="20">
        <v>21</v>
      </c>
      <c r="AO27" s="20">
        <f t="shared" si="35"/>
        <v>0</v>
      </c>
      <c r="AP27" s="20">
        <f t="shared" si="36"/>
        <v>0</v>
      </c>
      <c r="AQ27" s="21" t="s">
        <v>607</v>
      </c>
      <c r="AV27" s="20">
        <f t="shared" si="37"/>
        <v>0</v>
      </c>
      <c r="AW27" s="20">
        <f t="shared" si="38"/>
        <v>0</v>
      </c>
      <c r="AX27" s="20">
        <f t="shared" si="39"/>
        <v>0</v>
      </c>
      <c r="AY27" s="21" t="s">
        <v>1214</v>
      </c>
      <c r="AZ27" s="21" t="s">
        <v>1194</v>
      </c>
      <c r="BA27" s="10" t="s">
        <v>58</v>
      </c>
      <c r="BC27" s="20">
        <f t="shared" si="40"/>
        <v>0</v>
      </c>
      <c r="BD27" s="20">
        <f t="shared" si="41"/>
        <v>0</v>
      </c>
      <c r="BE27" s="20">
        <v>0</v>
      </c>
      <c r="BF27" s="20">
        <f>27</f>
        <v>27</v>
      </c>
      <c r="BH27" s="20">
        <f t="shared" si="42"/>
        <v>0</v>
      </c>
      <c r="BI27" s="20">
        <f t="shared" si="43"/>
        <v>0</v>
      </c>
      <c r="BJ27" s="20">
        <f t="shared" si="44"/>
        <v>0</v>
      </c>
      <c r="BK27" s="20"/>
      <c r="BL27" s="20"/>
      <c r="BV27" s="20">
        <f t="shared" si="45"/>
        <v>0</v>
      </c>
    </row>
    <row r="28" spans="1:74" ht="15" customHeight="1">
      <c r="A28" s="31" t="s">
        <v>142</v>
      </c>
      <c r="B28" s="3" t="s">
        <v>1221</v>
      </c>
      <c r="C28" s="115" t="s">
        <v>1290</v>
      </c>
      <c r="D28" s="115"/>
      <c r="E28" s="115"/>
      <c r="F28" s="115"/>
      <c r="G28" s="115"/>
      <c r="H28" s="115"/>
      <c r="I28" s="115"/>
      <c r="J28" s="3" t="s">
        <v>1192</v>
      </c>
      <c r="K28" s="20">
        <v>1</v>
      </c>
      <c r="L28" s="106"/>
      <c r="M28" s="32">
        <f t="shared" si="23"/>
        <v>0</v>
      </c>
      <c r="Z28" s="20">
        <f t="shared" si="24"/>
        <v>0</v>
      </c>
      <c r="AB28" s="20">
        <f t="shared" si="25"/>
        <v>0</v>
      </c>
      <c r="AC28" s="20">
        <f t="shared" si="26"/>
        <v>0</v>
      </c>
      <c r="AD28" s="20">
        <f t="shared" si="27"/>
        <v>0</v>
      </c>
      <c r="AE28" s="20">
        <f t="shared" si="28"/>
        <v>0</v>
      </c>
      <c r="AF28" s="20">
        <f t="shared" si="29"/>
        <v>0</v>
      </c>
      <c r="AG28" s="20">
        <f t="shared" si="30"/>
        <v>0</v>
      </c>
      <c r="AH28" s="20">
        <f t="shared" si="31"/>
        <v>0</v>
      </c>
      <c r="AI28" s="11" t="s">
        <v>49</v>
      </c>
      <c r="AJ28" s="20">
        <f t="shared" si="32"/>
        <v>0</v>
      </c>
      <c r="AK28" s="20">
        <f t="shared" si="33"/>
        <v>0</v>
      </c>
      <c r="AL28" s="20">
        <f t="shared" si="34"/>
        <v>0</v>
      </c>
      <c r="AN28" s="20">
        <v>21</v>
      </c>
      <c r="AO28" s="20">
        <f t="shared" si="35"/>
        <v>0</v>
      </c>
      <c r="AP28" s="20">
        <f t="shared" si="36"/>
        <v>0</v>
      </c>
      <c r="AQ28" s="21" t="s">
        <v>607</v>
      </c>
      <c r="AV28" s="20">
        <f t="shared" si="37"/>
        <v>0</v>
      </c>
      <c r="AW28" s="20">
        <f t="shared" si="38"/>
        <v>0</v>
      </c>
      <c r="AX28" s="20">
        <f t="shared" si="39"/>
        <v>0</v>
      </c>
      <c r="AY28" s="21" t="s">
        <v>1214</v>
      </c>
      <c r="AZ28" s="21" t="s">
        <v>1194</v>
      </c>
      <c r="BA28" s="11" t="s">
        <v>58</v>
      </c>
      <c r="BC28" s="20">
        <f t="shared" si="40"/>
        <v>0</v>
      </c>
      <c r="BD28" s="20">
        <f t="shared" si="41"/>
        <v>0</v>
      </c>
      <c r="BE28" s="20">
        <v>0</v>
      </c>
      <c r="BF28" s="20">
        <f>28</f>
        <v>28</v>
      </c>
      <c r="BH28" s="20">
        <f t="shared" si="42"/>
        <v>0</v>
      </c>
      <c r="BI28" s="20">
        <f t="shared" si="43"/>
        <v>0</v>
      </c>
      <c r="BJ28" s="20">
        <f t="shared" si="44"/>
        <v>0</v>
      </c>
      <c r="BK28" s="20"/>
      <c r="BL28" s="20"/>
      <c r="BV28" s="20">
        <f t="shared" si="45"/>
        <v>0</v>
      </c>
    </row>
    <row r="29" spans="1:74" ht="15" customHeight="1">
      <c r="A29" s="2" t="s">
        <v>146</v>
      </c>
      <c r="B29" s="3" t="s">
        <v>1222</v>
      </c>
      <c r="C29" s="115" t="s">
        <v>1223</v>
      </c>
      <c r="D29" s="115"/>
      <c r="E29" s="115"/>
      <c r="F29" s="115"/>
      <c r="G29" s="115"/>
      <c r="H29" s="115"/>
      <c r="I29" s="115"/>
      <c r="J29" s="3" t="s">
        <v>1192</v>
      </c>
      <c r="K29" s="20">
        <v>1</v>
      </c>
      <c r="L29" s="106"/>
      <c r="M29" s="29">
        <f t="shared" si="23"/>
        <v>0</v>
      </c>
      <c r="Z29" s="20">
        <f t="shared" si="24"/>
        <v>0</v>
      </c>
      <c r="AB29" s="20">
        <f t="shared" si="25"/>
        <v>0</v>
      </c>
      <c r="AC29" s="20">
        <f t="shared" si="26"/>
        <v>0</v>
      </c>
      <c r="AD29" s="20">
        <f t="shared" si="27"/>
        <v>0</v>
      </c>
      <c r="AE29" s="20">
        <f t="shared" si="28"/>
        <v>0</v>
      </c>
      <c r="AF29" s="20">
        <f t="shared" si="29"/>
        <v>0</v>
      </c>
      <c r="AG29" s="20">
        <f t="shared" si="30"/>
        <v>0</v>
      </c>
      <c r="AH29" s="20">
        <f t="shared" si="31"/>
        <v>0</v>
      </c>
      <c r="AI29" s="10" t="s">
        <v>49</v>
      </c>
      <c r="AJ29" s="20">
        <f t="shared" si="32"/>
        <v>0</v>
      </c>
      <c r="AK29" s="20">
        <f t="shared" si="33"/>
        <v>0</v>
      </c>
      <c r="AL29" s="20">
        <f t="shared" si="34"/>
        <v>0</v>
      </c>
      <c r="AN29" s="20">
        <v>21</v>
      </c>
      <c r="AO29" s="20">
        <f t="shared" si="35"/>
        <v>0</v>
      </c>
      <c r="AP29" s="20">
        <f t="shared" si="36"/>
        <v>0</v>
      </c>
      <c r="AQ29" s="21" t="s">
        <v>607</v>
      </c>
      <c r="AV29" s="20">
        <f t="shared" si="37"/>
        <v>0</v>
      </c>
      <c r="AW29" s="20">
        <f t="shared" si="38"/>
        <v>0</v>
      </c>
      <c r="AX29" s="20">
        <f t="shared" si="39"/>
        <v>0</v>
      </c>
      <c r="AY29" s="21" t="s">
        <v>1214</v>
      </c>
      <c r="AZ29" s="21" t="s">
        <v>1194</v>
      </c>
      <c r="BA29" s="10" t="s">
        <v>58</v>
      </c>
      <c r="BC29" s="20">
        <f t="shared" si="40"/>
        <v>0</v>
      </c>
      <c r="BD29" s="20">
        <f t="shared" si="41"/>
        <v>0</v>
      </c>
      <c r="BE29" s="20">
        <v>0</v>
      </c>
      <c r="BF29" s="20">
        <f>29</f>
        <v>29</v>
      </c>
      <c r="BH29" s="20">
        <f t="shared" si="42"/>
        <v>0</v>
      </c>
      <c r="BI29" s="20">
        <f t="shared" si="43"/>
        <v>0</v>
      </c>
      <c r="BJ29" s="20">
        <f t="shared" si="44"/>
        <v>0</v>
      </c>
      <c r="BK29" s="20"/>
      <c r="BL29" s="20"/>
      <c r="BV29" s="20">
        <f t="shared" si="45"/>
        <v>0</v>
      </c>
    </row>
    <row r="30" spans="1:74" ht="15" customHeight="1">
      <c r="A30" s="2" t="s">
        <v>151</v>
      </c>
      <c r="B30" s="3" t="s">
        <v>1224</v>
      </c>
      <c r="C30" s="115" t="s">
        <v>1225</v>
      </c>
      <c r="D30" s="115"/>
      <c r="E30" s="115"/>
      <c r="F30" s="115"/>
      <c r="G30" s="115"/>
      <c r="H30" s="115"/>
      <c r="I30" s="115"/>
      <c r="J30" s="3" t="s">
        <v>1192</v>
      </c>
      <c r="K30" s="20">
        <v>1</v>
      </c>
      <c r="L30" s="106"/>
      <c r="M30" s="29">
        <f t="shared" si="23"/>
        <v>0</v>
      </c>
      <c r="Z30" s="20">
        <f t="shared" si="24"/>
        <v>0</v>
      </c>
      <c r="AB30" s="20">
        <f t="shared" si="25"/>
        <v>0</v>
      </c>
      <c r="AC30" s="20">
        <f t="shared" si="26"/>
        <v>0</v>
      </c>
      <c r="AD30" s="20">
        <f t="shared" si="27"/>
        <v>0</v>
      </c>
      <c r="AE30" s="20">
        <f t="shared" si="28"/>
        <v>0</v>
      </c>
      <c r="AF30" s="20">
        <f t="shared" si="29"/>
        <v>0</v>
      </c>
      <c r="AG30" s="20">
        <f t="shared" si="30"/>
        <v>0</v>
      </c>
      <c r="AH30" s="20">
        <f t="shared" si="31"/>
        <v>0</v>
      </c>
      <c r="AI30" s="10" t="s">
        <v>49</v>
      </c>
      <c r="AJ30" s="20">
        <f t="shared" si="32"/>
        <v>0</v>
      </c>
      <c r="AK30" s="20">
        <f t="shared" si="33"/>
        <v>0</v>
      </c>
      <c r="AL30" s="20">
        <f t="shared" si="34"/>
        <v>0</v>
      </c>
      <c r="AN30" s="20">
        <v>21</v>
      </c>
      <c r="AO30" s="20">
        <f t="shared" si="35"/>
        <v>0</v>
      </c>
      <c r="AP30" s="20">
        <f t="shared" si="36"/>
        <v>0</v>
      </c>
      <c r="AQ30" s="21" t="s">
        <v>607</v>
      </c>
      <c r="AV30" s="20">
        <f t="shared" si="37"/>
        <v>0</v>
      </c>
      <c r="AW30" s="20">
        <f t="shared" si="38"/>
        <v>0</v>
      </c>
      <c r="AX30" s="20">
        <f t="shared" si="39"/>
        <v>0</v>
      </c>
      <c r="AY30" s="21" t="s">
        <v>1214</v>
      </c>
      <c r="AZ30" s="21" t="s">
        <v>1194</v>
      </c>
      <c r="BA30" s="10" t="s">
        <v>58</v>
      </c>
      <c r="BC30" s="20">
        <f t="shared" si="40"/>
        <v>0</v>
      </c>
      <c r="BD30" s="20">
        <f t="shared" si="41"/>
        <v>0</v>
      </c>
      <c r="BE30" s="20">
        <v>0</v>
      </c>
      <c r="BF30" s="20">
        <f>30</f>
        <v>30</v>
      </c>
      <c r="BH30" s="20">
        <f t="shared" si="42"/>
        <v>0</v>
      </c>
      <c r="BI30" s="20">
        <f t="shared" si="43"/>
        <v>0</v>
      </c>
      <c r="BJ30" s="20">
        <f t="shared" si="44"/>
        <v>0</v>
      </c>
      <c r="BK30" s="20"/>
      <c r="BL30" s="20"/>
      <c r="BV30" s="20">
        <f t="shared" si="45"/>
        <v>0</v>
      </c>
    </row>
    <row r="31" spans="1:74" ht="15" customHeight="1">
      <c r="A31" s="2" t="s">
        <v>156</v>
      </c>
      <c r="B31" s="3" t="s">
        <v>1226</v>
      </c>
      <c r="C31" s="115" t="s">
        <v>1227</v>
      </c>
      <c r="D31" s="115"/>
      <c r="E31" s="115"/>
      <c r="F31" s="115"/>
      <c r="G31" s="115"/>
      <c r="H31" s="115"/>
      <c r="I31" s="115"/>
      <c r="J31" s="3" t="s">
        <v>1192</v>
      </c>
      <c r="K31" s="20">
        <v>1</v>
      </c>
      <c r="L31" s="106"/>
      <c r="M31" s="29">
        <f t="shared" si="23"/>
        <v>0</v>
      </c>
      <c r="Z31" s="20">
        <f t="shared" si="24"/>
        <v>0</v>
      </c>
      <c r="AB31" s="20">
        <f t="shared" si="25"/>
        <v>0</v>
      </c>
      <c r="AC31" s="20">
        <f t="shared" si="26"/>
        <v>0</v>
      </c>
      <c r="AD31" s="20">
        <f t="shared" si="27"/>
        <v>0</v>
      </c>
      <c r="AE31" s="20">
        <f t="shared" si="28"/>
        <v>0</v>
      </c>
      <c r="AF31" s="20">
        <f t="shared" si="29"/>
        <v>0</v>
      </c>
      <c r="AG31" s="20">
        <f t="shared" si="30"/>
        <v>0</v>
      </c>
      <c r="AH31" s="20">
        <f t="shared" si="31"/>
        <v>0</v>
      </c>
      <c r="AI31" s="10" t="s">
        <v>49</v>
      </c>
      <c r="AJ31" s="20">
        <f t="shared" si="32"/>
        <v>0</v>
      </c>
      <c r="AK31" s="20">
        <f t="shared" si="33"/>
        <v>0</v>
      </c>
      <c r="AL31" s="20">
        <f t="shared" si="34"/>
        <v>0</v>
      </c>
      <c r="AN31" s="20">
        <v>21</v>
      </c>
      <c r="AO31" s="20">
        <f t="shared" si="35"/>
        <v>0</v>
      </c>
      <c r="AP31" s="20">
        <f t="shared" si="36"/>
        <v>0</v>
      </c>
      <c r="AQ31" s="21" t="s">
        <v>607</v>
      </c>
      <c r="AV31" s="20">
        <f t="shared" si="37"/>
        <v>0</v>
      </c>
      <c r="AW31" s="20">
        <f t="shared" si="38"/>
        <v>0</v>
      </c>
      <c r="AX31" s="20">
        <f t="shared" si="39"/>
        <v>0</v>
      </c>
      <c r="AY31" s="21" t="s">
        <v>1214</v>
      </c>
      <c r="AZ31" s="21" t="s">
        <v>1194</v>
      </c>
      <c r="BA31" s="10" t="s">
        <v>58</v>
      </c>
      <c r="BC31" s="20">
        <f t="shared" si="40"/>
        <v>0</v>
      </c>
      <c r="BD31" s="20">
        <f t="shared" si="41"/>
        <v>0</v>
      </c>
      <c r="BE31" s="20">
        <v>0</v>
      </c>
      <c r="BF31" s="20">
        <f>31</f>
        <v>31</v>
      </c>
      <c r="BH31" s="20">
        <f t="shared" si="42"/>
        <v>0</v>
      </c>
      <c r="BI31" s="20">
        <f t="shared" si="43"/>
        <v>0</v>
      </c>
      <c r="BJ31" s="20">
        <f t="shared" si="44"/>
        <v>0</v>
      </c>
      <c r="BK31" s="20"/>
      <c r="BL31" s="20"/>
      <c r="BV31" s="20">
        <f t="shared" si="45"/>
        <v>0</v>
      </c>
    </row>
    <row r="32" spans="1:74" ht="15" customHeight="1">
      <c r="A32" s="2" t="s">
        <v>161</v>
      </c>
      <c r="B32" s="3" t="s">
        <v>1228</v>
      </c>
      <c r="C32" s="115" t="s">
        <v>1229</v>
      </c>
      <c r="D32" s="115"/>
      <c r="E32" s="115"/>
      <c r="F32" s="115"/>
      <c r="G32" s="115"/>
      <c r="H32" s="115"/>
      <c r="I32" s="115"/>
      <c r="J32" s="3" t="s">
        <v>1192</v>
      </c>
      <c r="K32" s="20">
        <v>1</v>
      </c>
      <c r="L32" s="106"/>
      <c r="M32" s="29">
        <f t="shared" si="23"/>
        <v>0</v>
      </c>
      <c r="Z32" s="20">
        <f t="shared" si="24"/>
        <v>0</v>
      </c>
      <c r="AB32" s="20">
        <f t="shared" si="25"/>
        <v>0</v>
      </c>
      <c r="AC32" s="20">
        <f t="shared" si="26"/>
        <v>0</v>
      </c>
      <c r="AD32" s="20">
        <f t="shared" si="27"/>
        <v>0</v>
      </c>
      <c r="AE32" s="20">
        <f t="shared" si="28"/>
        <v>0</v>
      </c>
      <c r="AF32" s="20">
        <f t="shared" si="29"/>
        <v>0</v>
      </c>
      <c r="AG32" s="20">
        <f t="shared" si="30"/>
        <v>0</v>
      </c>
      <c r="AH32" s="20">
        <f t="shared" si="31"/>
        <v>0</v>
      </c>
      <c r="AI32" s="10" t="s">
        <v>49</v>
      </c>
      <c r="AJ32" s="20">
        <f t="shared" si="32"/>
        <v>0</v>
      </c>
      <c r="AK32" s="20">
        <f t="shared" si="33"/>
        <v>0</v>
      </c>
      <c r="AL32" s="20">
        <f t="shared" si="34"/>
        <v>0</v>
      </c>
      <c r="AN32" s="20">
        <v>21</v>
      </c>
      <c r="AO32" s="20">
        <f t="shared" si="35"/>
        <v>0</v>
      </c>
      <c r="AP32" s="20">
        <f t="shared" si="36"/>
        <v>0</v>
      </c>
      <c r="AQ32" s="21" t="s">
        <v>607</v>
      </c>
      <c r="AV32" s="20">
        <f t="shared" si="37"/>
        <v>0</v>
      </c>
      <c r="AW32" s="20">
        <f t="shared" si="38"/>
        <v>0</v>
      </c>
      <c r="AX32" s="20">
        <f t="shared" si="39"/>
        <v>0</v>
      </c>
      <c r="AY32" s="21" t="s">
        <v>1214</v>
      </c>
      <c r="AZ32" s="21" t="s">
        <v>1194</v>
      </c>
      <c r="BA32" s="10" t="s">
        <v>58</v>
      </c>
      <c r="BC32" s="20">
        <f t="shared" si="40"/>
        <v>0</v>
      </c>
      <c r="BD32" s="20">
        <f t="shared" si="41"/>
        <v>0</v>
      </c>
      <c r="BE32" s="20">
        <v>0</v>
      </c>
      <c r="BF32" s="20">
        <f>32</f>
        <v>32</v>
      </c>
      <c r="BH32" s="20">
        <f t="shared" si="42"/>
        <v>0</v>
      </c>
      <c r="BI32" s="20">
        <f t="shared" si="43"/>
        <v>0</v>
      </c>
      <c r="BJ32" s="20">
        <f t="shared" si="44"/>
        <v>0</v>
      </c>
      <c r="BK32" s="20"/>
      <c r="BL32" s="20"/>
      <c r="BV32" s="20">
        <f t="shared" si="45"/>
        <v>0</v>
      </c>
    </row>
    <row r="33" spans="1:74" ht="15" customHeight="1">
      <c r="A33" s="2" t="s">
        <v>166</v>
      </c>
      <c r="B33" s="3" t="s">
        <v>1230</v>
      </c>
      <c r="C33" s="115" t="s">
        <v>1231</v>
      </c>
      <c r="D33" s="115"/>
      <c r="E33" s="115"/>
      <c r="F33" s="115"/>
      <c r="G33" s="115"/>
      <c r="H33" s="115"/>
      <c r="I33" s="115"/>
      <c r="J33" s="3" t="s">
        <v>1192</v>
      </c>
      <c r="K33" s="20">
        <v>1</v>
      </c>
      <c r="L33" s="106"/>
      <c r="M33" s="29">
        <f t="shared" si="23"/>
        <v>0</v>
      </c>
      <c r="Z33" s="20">
        <f t="shared" si="24"/>
        <v>0</v>
      </c>
      <c r="AB33" s="20">
        <f t="shared" si="25"/>
        <v>0</v>
      </c>
      <c r="AC33" s="20">
        <f t="shared" si="26"/>
        <v>0</v>
      </c>
      <c r="AD33" s="20">
        <f t="shared" si="27"/>
        <v>0</v>
      </c>
      <c r="AE33" s="20">
        <f t="shared" si="28"/>
        <v>0</v>
      </c>
      <c r="AF33" s="20">
        <f t="shared" si="29"/>
        <v>0</v>
      </c>
      <c r="AG33" s="20">
        <f t="shared" si="30"/>
        <v>0</v>
      </c>
      <c r="AH33" s="20">
        <f t="shared" si="31"/>
        <v>0</v>
      </c>
      <c r="AI33" s="10" t="s">
        <v>49</v>
      </c>
      <c r="AJ33" s="20">
        <f t="shared" si="32"/>
        <v>0</v>
      </c>
      <c r="AK33" s="20">
        <f t="shared" si="33"/>
        <v>0</v>
      </c>
      <c r="AL33" s="20">
        <f t="shared" si="34"/>
        <v>0</v>
      </c>
      <c r="AN33" s="20">
        <v>21</v>
      </c>
      <c r="AO33" s="20">
        <f t="shared" si="35"/>
        <v>0</v>
      </c>
      <c r="AP33" s="20">
        <f t="shared" si="36"/>
        <v>0</v>
      </c>
      <c r="AQ33" s="21" t="s">
        <v>607</v>
      </c>
      <c r="AV33" s="20">
        <f t="shared" si="37"/>
        <v>0</v>
      </c>
      <c r="AW33" s="20">
        <f t="shared" si="38"/>
        <v>0</v>
      </c>
      <c r="AX33" s="20">
        <f t="shared" si="39"/>
        <v>0</v>
      </c>
      <c r="AY33" s="21" t="s">
        <v>1214</v>
      </c>
      <c r="AZ33" s="21" t="s">
        <v>1194</v>
      </c>
      <c r="BA33" s="10" t="s">
        <v>58</v>
      </c>
      <c r="BC33" s="20">
        <f t="shared" si="40"/>
        <v>0</v>
      </c>
      <c r="BD33" s="20">
        <f t="shared" si="41"/>
        <v>0</v>
      </c>
      <c r="BE33" s="20">
        <v>0</v>
      </c>
      <c r="BF33" s="20">
        <f>33</f>
        <v>33</v>
      </c>
      <c r="BH33" s="20">
        <f t="shared" si="42"/>
        <v>0</v>
      </c>
      <c r="BI33" s="20">
        <f t="shared" si="43"/>
        <v>0</v>
      </c>
      <c r="BJ33" s="20">
        <f t="shared" si="44"/>
        <v>0</v>
      </c>
      <c r="BK33" s="20"/>
      <c r="BL33" s="20"/>
      <c r="BV33" s="20">
        <f t="shared" si="45"/>
        <v>0</v>
      </c>
    </row>
    <row r="34" spans="1:74" ht="15" customHeight="1">
      <c r="A34" s="2" t="s">
        <v>176</v>
      </c>
      <c r="B34" s="3" t="s">
        <v>1232</v>
      </c>
      <c r="C34" s="115" t="s">
        <v>1233</v>
      </c>
      <c r="D34" s="115"/>
      <c r="E34" s="115"/>
      <c r="F34" s="115"/>
      <c r="G34" s="115"/>
      <c r="H34" s="115"/>
      <c r="I34" s="115"/>
      <c r="J34" s="3" t="s">
        <v>1192</v>
      </c>
      <c r="K34" s="20">
        <v>3</v>
      </c>
      <c r="L34" s="106"/>
      <c r="M34" s="29">
        <f t="shared" si="23"/>
        <v>0</v>
      </c>
      <c r="Z34" s="20">
        <f t="shared" si="24"/>
        <v>0</v>
      </c>
      <c r="AB34" s="20">
        <f t="shared" si="25"/>
        <v>0</v>
      </c>
      <c r="AC34" s="20">
        <f t="shared" si="26"/>
        <v>0</v>
      </c>
      <c r="AD34" s="20">
        <f t="shared" si="27"/>
        <v>0</v>
      </c>
      <c r="AE34" s="20">
        <f t="shared" si="28"/>
        <v>0</v>
      </c>
      <c r="AF34" s="20">
        <f t="shared" si="29"/>
        <v>0</v>
      </c>
      <c r="AG34" s="20">
        <f t="shared" si="30"/>
        <v>0</v>
      </c>
      <c r="AH34" s="20">
        <f t="shared" si="31"/>
        <v>0</v>
      </c>
      <c r="AI34" s="10" t="s">
        <v>49</v>
      </c>
      <c r="AJ34" s="20">
        <f t="shared" si="32"/>
        <v>0</v>
      </c>
      <c r="AK34" s="20">
        <f t="shared" si="33"/>
        <v>0</v>
      </c>
      <c r="AL34" s="20">
        <f t="shared" si="34"/>
        <v>0</v>
      </c>
      <c r="AN34" s="20">
        <v>21</v>
      </c>
      <c r="AO34" s="20">
        <f t="shared" si="35"/>
        <v>0</v>
      </c>
      <c r="AP34" s="20">
        <f t="shared" si="36"/>
        <v>0</v>
      </c>
      <c r="AQ34" s="21" t="s">
        <v>607</v>
      </c>
      <c r="AV34" s="20">
        <f t="shared" si="37"/>
        <v>0</v>
      </c>
      <c r="AW34" s="20">
        <f t="shared" si="38"/>
        <v>0</v>
      </c>
      <c r="AX34" s="20">
        <f t="shared" si="39"/>
        <v>0</v>
      </c>
      <c r="AY34" s="21" t="s">
        <v>1214</v>
      </c>
      <c r="AZ34" s="21" t="s">
        <v>1194</v>
      </c>
      <c r="BA34" s="10" t="s">
        <v>58</v>
      </c>
      <c r="BC34" s="20">
        <f t="shared" si="40"/>
        <v>0</v>
      </c>
      <c r="BD34" s="20">
        <f t="shared" si="41"/>
        <v>0</v>
      </c>
      <c r="BE34" s="20">
        <v>0</v>
      </c>
      <c r="BF34" s="20">
        <f>34</f>
        <v>34</v>
      </c>
      <c r="BH34" s="20">
        <f t="shared" si="42"/>
        <v>0</v>
      </c>
      <c r="BI34" s="20">
        <f t="shared" si="43"/>
        <v>0</v>
      </c>
      <c r="BJ34" s="20">
        <f t="shared" si="44"/>
        <v>0</v>
      </c>
      <c r="BK34" s="20"/>
      <c r="BL34" s="20"/>
      <c r="BV34" s="20">
        <f t="shared" si="45"/>
        <v>0</v>
      </c>
    </row>
    <row r="35" spans="1:74" ht="15" customHeight="1">
      <c r="A35" s="2" t="s">
        <v>183</v>
      </c>
      <c r="B35" s="3" t="s">
        <v>1234</v>
      </c>
      <c r="C35" s="115" t="s">
        <v>1235</v>
      </c>
      <c r="D35" s="115"/>
      <c r="E35" s="115"/>
      <c r="F35" s="115"/>
      <c r="G35" s="115"/>
      <c r="H35" s="115"/>
      <c r="I35" s="115"/>
      <c r="J35" s="3" t="s">
        <v>1192</v>
      </c>
      <c r="K35" s="20">
        <v>1</v>
      </c>
      <c r="L35" s="106"/>
      <c r="M35" s="29">
        <f t="shared" si="23"/>
        <v>0</v>
      </c>
      <c r="Z35" s="20">
        <f t="shared" si="24"/>
        <v>0</v>
      </c>
      <c r="AB35" s="20">
        <f t="shared" si="25"/>
        <v>0</v>
      </c>
      <c r="AC35" s="20">
        <f t="shared" si="26"/>
        <v>0</v>
      </c>
      <c r="AD35" s="20">
        <f t="shared" si="27"/>
        <v>0</v>
      </c>
      <c r="AE35" s="20">
        <f t="shared" si="28"/>
        <v>0</v>
      </c>
      <c r="AF35" s="20">
        <f t="shared" si="29"/>
        <v>0</v>
      </c>
      <c r="AG35" s="20">
        <f t="shared" si="30"/>
        <v>0</v>
      </c>
      <c r="AH35" s="20">
        <f t="shared" si="31"/>
        <v>0</v>
      </c>
      <c r="AI35" s="10" t="s">
        <v>49</v>
      </c>
      <c r="AJ35" s="20">
        <f t="shared" si="32"/>
        <v>0</v>
      </c>
      <c r="AK35" s="20">
        <f t="shared" si="33"/>
        <v>0</v>
      </c>
      <c r="AL35" s="20">
        <f t="shared" si="34"/>
        <v>0</v>
      </c>
      <c r="AN35" s="20">
        <v>21</v>
      </c>
      <c r="AO35" s="20">
        <f t="shared" si="35"/>
        <v>0</v>
      </c>
      <c r="AP35" s="20">
        <f t="shared" si="36"/>
        <v>0</v>
      </c>
      <c r="AQ35" s="21" t="s">
        <v>607</v>
      </c>
      <c r="AV35" s="20">
        <f t="shared" si="37"/>
        <v>0</v>
      </c>
      <c r="AW35" s="20">
        <f t="shared" si="38"/>
        <v>0</v>
      </c>
      <c r="AX35" s="20">
        <f t="shared" si="39"/>
        <v>0</v>
      </c>
      <c r="AY35" s="21" t="s">
        <v>1214</v>
      </c>
      <c r="AZ35" s="21" t="s">
        <v>1194</v>
      </c>
      <c r="BA35" s="10" t="s">
        <v>58</v>
      </c>
      <c r="BC35" s="20">
        <f t="shared" si="40"/>
        <v>0</v>
      </c>
      <c r="BD35" s="20">
        <f t="shared" si="41"/>
        <v>0</v>
      </c>
      <c r="BE35" s="20">
        <v>0</v>
      </c>
      <c r="BF35" s="20">
        <f>35</f>
        <v>35</v>
      </c>
      <c r="BH35" s="20">
        <f t="shared" si="42"/>
        <v>0</v>
      </c>
      <c r="BI35" s="20">
        <f t="shared" si="43"/>
        <v>0</v>
      </c>
      <c r="BJ35" s="20">
        <f t="shared" si="44"/>
        <v>0</v>
      </c>
      <c r="BK35" s="20"/>
      <c r="BL35" s="20"/>
      <c r="BV35" s="20">
        <f t="shared" si="45"/>
        <v>0</v>
      </c>
    </row>
    <row r="36" spans="1:74" ht="15" customHeight="1">
      <c r="A36" s="2" t="s">
        <v>188</v>
      </c>
      <c r="B36" s="3" t="s">
        <v>1236</v>
      </c>
      <c r="C36" s="115" t="s">
        <v>1237</v>
      </c>
      <c r="D36" s="115"/>
      <c r="E36" s="115"/>
      <c r="F36" s="115"/>
      <c r="G36" s="115"/>
      <c r="H36" s="115"/>
      <c r="I36" s="115"/>
      <c r="J36" s="3" t="s">
        <v>1192</v>
      </c>
      <c r="K36" s="20">
        <v>1</v>
      </c>
      <c r="L36" s="106"/>
      <c r="M36" s="29">
        <f t="shared" si="23"/>
        <v>0</v>
      </c>
      <c r="Z36" s="20">
        <f t="shared" si="24"/>
        <v>0</v>
      </c>
      <c r="AB36" s="20">
        <f t="shared" si="25"/>
        <v>0</v>
      </c>
      <c r="AC36" s="20">
        <f t="shared" si="26"/>
        <v>0</v>
      </c>
      <c r="AD36" s="20">
        <f t="shared" si="27"/>
        <v>0</v>
      </c>
      <c r="AE36" s="20">
        <f t="shared" si="28"/>
        <v>0</v>
      </c>
      <c r="AF36" s="20">
        <f t="shared" si="29"/>
        <v>0</v>
      </c>
      <c r="AG36" s="20">
        <f t="shared" si="30"/>
        <v>0</v>
      </c>
      <c r="AH36" s="20">
        <f t="shared" si="31"/>
        <v>0</v>
      </c>
      <c r="AI36" s="10" t="s">
        <v>49</v>
      </c>
      <c r="AJ36" s="20">
        <f t="shared" si="32"/>
        <v>0</v>
      </c>
      <c r="AK36" s="20">
        <f t="shared" si="33"/>
        <v>0</v>
      </c>
      <c r="AL36" s="20">
        <f t="shared" si="34"/>
        <v>0</v>
      </c>
      <c r="AN36" s="20">
        <v>21</v>
      </c>
      <c r="AO36" s="20">
        <f t="shared" si="35"/>
        <v>0</v>
      </c>
      <c r="AP36" s="20">
        <f t="shared" si="36"/>
        <v>0</v>
      </c>
      <c r="AQ36" s="21" t="s">
        <v>607</v>
      </c>
      <c r="AV36" s="20">
        <f t="shared" si="37"/>
        <v>0</v>
      </c>
      <c r="AW36" s="20">
        <f t="shared" si="38"/>
        <v>0</v>
      </c>
      <c r="AX36" s="20">
        <f t="shared" si="39"/>
        <v>0</v>
      </c>
      <c r="AY36" s="21" t="s">
        <v>1214</v>
      </c>
      <c r="AZ36" s="21" t="s">
        <v>1194</v>
      </c>
      <c r="BA36" s="10" t="s">
        <v>58</v>
      </c>
      <c r="BC36" s="20">
        <f t="shared" si="40"/>
        <v>0</v>
      </c>
      <c r="BD36" s="20">
        <f t="shared" si="41"/>
        <v>0</v>
      </c>
      <c r="BE36" s="20">
        <v>0</v>
      </c>
      <c r="BF36" s="20">
        <f>36</f>
        <v>36</v>
      </c>
      <c r="BH36" s="20">
        <f t="shared" si="42"/>
        <v>0</v>
      </c>
      <c r="BI36" s="20">
        <f t="shared" si="43"/>
        <v>0</v>
      </c>
      <c r="BJ36" s="20">
        <f t="shared" si="44"/>
        <v>0</v>
      </c>
      <c r="BK36" s="20"/>
      <c r="BL36" s="20"/>
      <c r="BV36" s="20">
        <f t="shared" si="45"/>
        <v>0</v>
      </c>
    </row>
    <row r="37" spans="1:74" ht="15" customHeight="1">
      <c r="A37" s="2" t="s">
        <v>196</v>
      </c>
      <c r="B37" s="3" t="s">
        <v>1238</v>
      </c>
      <c r="C37" s="115" t="s">
        <v>1239</v>
      </c>
      <c r="D37" s="115"/>
      <c r="E37" s="115"/>
      <c r="F37" s="115"/>
      <c r="G37" s="115"/>
      <c r="H37" s="115"/>
      <c r="I37" s="115"/>
      <c r="J37" s="3" t="s">
        <v>1192</v>
      </c>
      <c r="K37" s="20">
        <v>1</v>
      </c>
      <c r="L37" s="106"/>
      <c r="M37" s="29">
        <f t="shared" si="23"/>
        <v>0</v>
      </c>
      <c r="Z37" s="20">
        <f t="shared" si="24"/>
        <v>0</v>
      </c>
      <c r="AB37" s="20">
        <f t="shared" si="25"/>
        <v>0</v>
      </c>
      <c r="AC37" s="20">
        <f t="shared" si="26"/>
        <v>0</v>
      </c>
      <c r="AD37" s="20">
        <f t="shared" si="27"/>
        <v>0</v>
      </c>
      <c r="AE37" s="20">
        <f t="shared" si="28"/>
        <v>0</v>
      </c>
      <c r="AF37" s="20">
        <f t="shared" si="29"/>
        <v>0</v>
      </c>
      <c r="AG37" s="20">
        <f t="shared" si="30"/>
        <v>0</v>
      </c>
      <c r="AH37" s="20">
        <f t="shared" si="31"/>
        <v>0</v>
      </c>
      <c r="AI37" s="10" t="s">
        <v>49</v>
      </c>
      <c r="AJ37" s="20">
        <f t="shared" si="32"/>
        <v>0</v>
      </c>
      <c r="AK37" s="20">
        <f t="shared" si="33"/>
        <v>0</v>
      </c>
      <c r="AL37" s="20">
        <f t="shared" si="34"/>
        <v>0</v>
      </c>
      <c r="AN37" s="20">
        <v>21</v>
      </c>
      <c r="AO37" s="20">
        <f t="shared" si="35"/>
        <v>0</v>
      </c>
      <c r="AP37" s="20">
        <f t="shared" si="36"/>
        <v>0</v>
      </c>
      <c r="AQ37" s="21" t="s">
        <v>607</v>
      </c>
      <c r="AV37" s="20">
        <f t="shared" si="37"/>
        <v>0</v>
      </c>
      <c r="AW37" s="20">
        <f t="shared" si="38"/>
        <v>0</v>
      </c>
      <c r="AX37" s="20">
        <f t="shared" si="39"/>
        <v>0</v>
      </c>
      <c r="AY37" s="21" t="s">
        <v>1214</v>
      </c>
      <c r="AZ37" s="21" t="s">
        <v>1194</v>
      </c>
      <c r="BA37" s="10" t="s">
        <v>58</v>
      </c>
      <c r="BC37" s="20">
        <f t="shared" si="40"/>
        <v>0</v>
      </c>
      <c r="BD37" s="20">
        <f t="shared" si="41"/>
        <v>0</v>
      </c>
      <c r="BE37" s="20">
        <v>0</v>
      </c>
      <c r="BF37" s="20">
        <f>37</f>
        <v>37</v>
      </c>
      <c r="BH37" s="20">
        <f t="shared" si="42"/>
        <v>0</v>
      </c>
      <c r="BI37" s="20">
        <f t="shared" si="43"/>
        <v>0</v>
      </c>
      <c r="BJ37" s="20">
        <f t="shared" si="44"/>
        <v>0</v>
      </c>
      <c r="BK37" s="20"/>
      <c r="BL37" s="20"/>
      <c r="BV37" s="20">
        <f t="shared" si="45"/>
        <v>0</v>
      </c>
    </row>
    <row r="38" spans="1:74" ht="15" customHeight="1">
      <c r="A38" s="2" t="s">
        <v>201</v>
      </c>
      <c r="B38" s="3" t="s">
        <v>1240</v>
      </c>
      <c r="C38" s="115" t="s">
        <v>1241</v>
      </c>
      <c r="D38" s="115"/>
      <c r="E38" s="115"/>
      <c r="F38" s="115"/>
      <c r="G38" s="115"/>
      <c r="H38" s="115"/>
      <c r="I38" s="115"/>
      <c r="J38" s="3" t="s">
        <v>1192</v>
      </c>
      <c r="K38" s="20">
        <v>1</v>
      </c>
      <c r="L38" s="106"/>
      <c r="M38" s="29">
        <f t="shared" si="23"/>
        <v>0</v>
      </c>
      <c r="Z38" s="20">
        <f t="shared" si="24"/>
        <v>0</v>
      </c>
      <c r="AB38" s="20">
        <f t="shared" si="25"/>
        <v>0</v>
      </c>
      <c r="AC38" s="20">
        <f t="shared" si="26"/>
        <v>0</v>
      </c>
      <c r="AD38" s="20">
        <f t="shared" si="27"/>
        <v>0</v>
      </c>
      <c r="AE38" s="20">
        <f t="shared" si="28"/>
        <v>0</v>
      </c>
      <c r="AF38" s="20">
        <f t="shared" si="29"/>
        <v>0</v>
      </c>
      <c r="AG38" s="20">
        <f t="shared" si="30"/>
        <v>0</v>
      </c>
      <c r="AH38" s="20">
        <f t="shared" si="31"/>
        <v>0</v>
      </c>
      <c r="AI38" s="10" t="s">
        <v>49</v>
      </c>
      <c r="AJ38" s="20">
        <f t="shared" si="32"/>
        <v>0</v>
      </c>
      <c r="AK38" s="20">
        <f t="shared" si="33"/>
        <v>0</v>
      </c>
      <c r="AL38" s="20">
        <f t="shared" si="34"/>
        <v>0</v>
      </c>
      <c r="AN38" s="20">
        <v>21</v>
      </c>
      <c r="AO38" s="20">
        <f t="shared" si="35"/>
        <v>0</v>
      </c>
      <c r="AP38" s="20">
        <f t="shared" si="36"/>
        <v>0</v>
      </c>
      <c r="AQ38" s="21" t="s">
        <v>607</v>
      </c>
      <c r="AV38" s="20">
        <f t="shared" si="37"/>
        <v>0</v>
      </c>
      <c r="AW38" s="20">
        <f t="shared" si="38"/>
        <v>0</v>
      </c>
      <c r="AX38" s="20">
        <f t="shared" si="39"/>
        <v>0</v>
      </c>
      <c r="AY38" s="21" t="s">
        <v>1214</v>
      </c>
      <c r="AZ38" s="21" t="s">
        <v>1194</v>
      </c>
      <c r="BA38" s="10" t="s">
        <v>58</v>
      </c>
      <c r="BC38" s="20">
        <f t="shared" si="40"/>
        <v>0</v>
      </c>
      <c r="BD38" s="20">
        <f t="shared" si="41"/>
        <v>0</v>
      </c>
      <c r="BE38" s="20">
        <v>0</v>
      </c>
      <c r="BF38" s="20">
        <f>38</f>
        <v>38</v>
      </c>
      <c r="BH38" s="20">
        <f t="shared" si="42"/>
        <v>0</v>
      </c>
      <c r="BI38" s="20">
        <f t="shared" si="43"/>
        <v>0</v>
      </c>
      <c r="BJ38" s="20">
        <f t="shared" si="44"/>
        <v>0</v>
      </c>
      <c r="BK38" s="20"/>
      <c r="BL38" s="20"/>
      <c r="BV38" s="20">
        <f t="shared" si="45"/>
        <v>0</v>
      </c>
    </row>
    <row r="39" spans="1:74" ht="29.25" customHeight="1">
      <c r="A39" s="31" t="s">
        <v>204</v>
      </c>
      <c r="B39" s="3" t="s">
        <v>1242</v>
      </c>
      <c r="C39" s="114" t="s">
        <v>1257</v>
      </c>
      <c r="D39" s="114"/>
      <c r="E39" s="114"/>
      <c r="F39" s="114"/>
      <c r="G39" s="114"/>
      <c r="H39" s="114"/>
      <c r="I39" s="114"/>
      <c r="J39" s="3" t="s">
        <v>1192</v>
      </c>
      <c r="K39" s="20">
        <v>1</v>
      </c>
      <c r="L39" s="106"/>
      <c r="M39" s="32">
        <f t="shared" si="23"/>
        <v>0</v>
      </c>
      <c r="Z39" s="20">
        <f t="shared" si="24"/>
        <v>0</v>
      </c>
      <c r="AB39" s="20">
        <f t="shared" si="25"/>
        <v>0</v>
      </c>
      <c r="AC39" s="20">
        <f t="shared" si="26"/>
        <v>0</v>
      </c>
      <c r="AD39" s="20">
        <f t="shared" si="27"/>
        <v>0</v>
      </c>
      <c r="AE39" s="20">
        <f t="shared" si="28"/>
        <v>0</v>
      </c>
      <c r="AF39" s="20">
        <f t="shared" si="29"/>
        <v>0</v>
      </c>
      <c r="AG39" s="20">
        <f t="shared" si="30"/>
        <v>0</v>
      </c>
      <c r="AH39" s="20">
        <f t="shared" si="31"/>
        <v>0</v>
      </c>
      <c r="AI39" s="11" t="s">
        <v>49</v>
      </c>
      <c r="AJ39" s="20">
        <f t="shared" si="32"/>
        <v>0</v>
      </c>
      <c r="AK39" s="20">
        <f t="shared" si="33"/>
        <v>0</v>
      </c>
      <c r="AL39" s="20">
        <f t="shared" si="34"/>
        <v>0</v>
      </c>
      <c r="AN39" s="20">
        <v>21</v>
      </c>
      <c r="AO39" s="20">
        <f t="shared" si="35"/>
        <v>0</v>
      </c>
      <c r="AP39" s="20">
        <f t="shared" si="36"/>
        <v>0</v>
      </c>
      <c r="AQ39" s="21" t="s">
        <v>607</v>
      </c>
      <c r="AV39" s="20">
        <f t="shared" si="37"/>
        <v>0</v>
      </c>
      <c r="AW39" s="20">
        <f t="shared" si="38"/>
        <v>0</v>
      </c>
      <c r="AX39" s="20">
        <f t="shared" si="39"/>
        <v>0</v>
      </c>
      <c r="AY39" s="21" t="s">
        <v>1214</v>
      </c>
      <c r="AZ39" s="21" t="s">
        <v>1194</v>
      </c>
      <c r="BA39" s="11" t="s">
        <v>58</v>
      </c>
      <c r="BC39" s="20">
        <f t="shared" si="40"/>
        <v>0</v>
      </c>
      <c r="BD39" s="20">
        <f t="shared" si="41"/>
        <v>0</v>
      </c>
      <c r="BE39" s="20">
        <v>0</v>
      </c>
      <c r="BF39" s="20">
        <f>39</f>
        <v>39</v>
      </c>
      <c r="BH39" s="20">
        <f t="shared" si="42"/>
        <v>0</v>
      </c>
      <c r="BI39" s="20">
        <f t="shared" si="43"/>
        <v>0</v>
      </c>
      <c r="BJ39" s="20">
        <f t="shared" si="44"/>
        <v>0</v>
      </c>
      <c r="BK39" s="20"/>
      <c r="BL39" s="20"/>
      <c r="BV39" s="20">
        <f t="shared" si="45"/>
        <v>0</v>
      </c>
    </row>
    <row r="40" spans="1:74" ht="15" customHeight="1">
      <c r="A40" s="2" t="s">
        <v>208</v>
      </c>
      <c r="B40" s="3" t="s">
        <v>1243</v>
      </c>
      <c r="C40" s="115" t="s">
        <v>1244</v>
      </c>
      <c r="D40" s="115"/>
      <c r="E40" s="115"/>
      <c r="F40" s="115"/>
      <c r="G40" s="115"/>
      <c r="H40" s="115"/>
      <c r="I40" s="115"/>
      <c r="J40" s="3" t="s">
        <v>1192</v>
      </c>
      <c r="K40" s="20">
        <v>1</v>
      </c>
      <c r="L40" s="106"/>
      <c r="M40" s="29">
        <f t="shared" si="23"/>
        <v>0</v>
      </c>
      <c r="Z40" s="20">
        <f t="shared" si="24"/>
        <v>0</v>
      </c>
      <c r="AB40" s="20">
        <f t="shared" si="25"/>
        <v>0</v>
      </c>
      <c r="AC40" s="20">
        <f t="shared" si="26"/>
        <v>0</v>
      </c>
      <c r="AD40" s="20">
        <f t="shared" si="27"/>
        <v>0</v>
      </c>
      <c r="AE40" s="20">
        <f t="shared" si="28"/>
        <v>0</v>
      </c>
      <c r="AF40" s="20">
        <f t="shared" si="29"/>
        <v>0</v>
      </c>
      <c r="AG40" s="20">
        <f t="shared" si="30"/>
        <v>0</v>
      </c>
      <c r="AH40" s="20">
        <f t="shared" si="31"/>
        <v>0</v>
      </c>
      <c r="AI40" s="10" t="s">
        <v>49</v>
      </c>
      <c r="AJ40" s="20">
        <f t="shared" si="32"/>
        <v>0</v>
      </c>
      <c r="AK40" s="20">
        <f t="shared" si="33"/>
        <v>0</v>
      </c>
      <c r="AL40" s="20">
        <f t="shared" si="34"/>
        <v>0</v>
      </c>
      <c r="AN40" s="20">
        <v>21</v>
      </c>
      <c r="AO40" s="20">
        <f t="shared" si="35"/>
        <v>0</v>
      </c>
      <c r="AP40" s="20">
        <f t="shared" si="36"/>
        <v>0</v>
      </c>
      <c r="AQ40" s="21" t="s">
        <v>607</v>
      </c>
      <c r="AV40" s="20">
        <f t="shared" si="37"/>
        <v>0</v>
      </c>
      <c r="AW40" s="20">
        <f t="shared" si="38"/>
        <v>0</v>
      </c>
      <c r="AX40" s="20">
        <f t="shared" si="39"/>
        <v>0</v>
      </c>
      <c r="AY40" s="21" t="s">
        <v>1214</v>
      </c>
      <c r="AZ40" s="21" t="s">
        <v>1194</v>
      </c>
      <c r="BA40" s="10" t="s">
        <v>58</v>
      </c>
      <c r="BC40" s="20">
        <f t="shared" si="40"/>
        <v>0</v>
      </c>
      <c r="BD40" s="20">
        <f t="shared" si="41"/>
        <v>0</v>
      </c>
      <c r="BE40" s="20">
        <v>0</v>
      </c>
      <c r="BF40" s="20">
        <f>40</f>
        <v>40</v>
      </c>
      <c r="BH40" s="20">
        <f t="shared" si="42"/>
        <v>0</v>
      </c>
      <c r="BI40" s="20">
        <f t="shared" si="43"/>
        <v>0</v>
      </c>
      <c r="BJ40" s="20">
        <f t="shared" si="44"/>
        <v>0</v>
      </c>
      <c r="BK40" s="20"/>
      <c r="BL40" s="20"/>
      <c r="BV40" s="20">
        <f t="shared" si="45"/>
        <v>0</v>
      </c>
    </row>
    <row r="41" spans="1:74" ht="15" customHeight="1">
      <c r="A41" s="2" t="s">
        <v>213</v>
      </c>
      <c r="B41" s="3" t="s">
        <v>1245</v>
      </c>
      <c r="C41" s="115" t="s">
        <v>1246</v>
      </c>
      <c r="D41" s="115"/>
      <c r="E41" s="115"/>
      <c r="F41" s="115"/>
      <c r="G41" s="115"/>
      <c r="H41" s="115"/>
      <c r="I41" s="115"/>
      <c r="J41" s="3" t="s">
        <v>1192</v>
      </c>
      <c r="K41" s="20">
        <v>1</v>
      </c>
      <c r="L41" s="106"/>
      <c r="M41" s="29">
        <f t="shared" si="23"/>
        <v>0</v>
      </c>
      <c r="Z41" s="20">
        <f t="shared" si="24"/>
        <v>0</v>
      </c>
      <c r="AB41" s="20">
        <f t="shared" si="25"/>
        <v>0</v>
      </c>
      <c r="AC41" s="20">
        <f t="shared" si="26"/>
        <v>0</v>
      </c>
      <c r="AD41" s="20">
        <f t="shared" si="27"/>
        <v>0</v>
      </c>
      <c r="AE41" s="20">
        <f t="shared" si="28"/>
        <v>0</v>
      </c>
      <c r="AF41" s="20">
        <f t="shared" si="29"/>
        <v>0</v>
      </c>
      <c r="AG41" s="20">
        <f t="shared" si="30"/>
        <v>0</v>
      </c>
      <c r="AH41" s="20">
        <f t="shared" si="31"/>
        <v>0</v>
      </c>
      <c r="AI41" s="10" t="s">
        <v>49</v>
      </c>
      <c r="AJ41" s="20">
        <f t="shared" si="32"/>
        <v>0</v>
      </c>
      <c r="AK41" s="20">
        <f t="shared" si="33"/>
        <v>0</v>
      </c>
      <c r="AL41" s="20">
        <f t="shared" si="34"/>
        <v>0</v>
      </c>
      <c r="AN41" s="20">
        <v>21</v>
      </c>
      <c r="AO41" s="20">
        <f t="shared" si="35"/>
        <v>0</v>
      </c>
      <c r="AP41" s="20">
        <f t="shared" si="36"/>
        <v>0</v>
      </c>
      <c r="AQ41" s="21" t="s">
        <v>607</v>
      </c>
      <c r="AV41" s="20">
        <f t="shared" si="37"/>
        <v>0</v>
      </c>
      <c r="AW41" s="20">
        <f t="shared" si="38"/>
        <v>0</v>
      </c>
      <c r="AX41" s="20">
        <f t="shared" si="39"/>
        <v>0</v>
      </c>
      <c r="AY41" s="21" t="s">
        <v>1214</v>
      </c>
      <c r="AZ41" s="21" t="s">
        <v>1194</v>
      </c>
      <c r="BA41" s="10" t="s">
        <v>58</v>
      </c>
      <c r="BC41" s="20">
        <f t="shared" si="40"/>
        <v>0</v>
      </c>
      <c r="BD41" s="20">
        <f t="shared" si="41"/>
        <v>0</v>
      </c>
      <c r="BE41" s="20">
        <v>0</v>
      </c>
      <c r="BF41" s="20">
        <f>41</f>
        <v>41</v>
      </c>
      <c r="BH41" s="20">
        <f t="shared" si="42"/>
        <v>0</v>
      </c>
      <c r="BI41" s="20">
        <f t="shared" si="43"/>
        <v>0</v>
      </c>
      <c r="BJ41" s="20">
        <f t="shared" si="44"/>
        <v>0</v>
      </c>
      <c r="BK41" s="20"/>
      <c r="BL41" s="20"/>
      <c r="BV41" s="20">
        <f t="shared" si="45"/>
        <v>0</v>
      </c>
    </row>
    <row r="42" spans="1:74" ht="15" customHeight="1">
      <c r="A42" s="2" t="s">
        <v>219</v>
      </c>
      <c r="B42" s="3" t="s">
        <v>1247</v>
      </c>
      <c r="C42" s="115" t="s">
        <v>1248</v>
      </c>
      <c r="D42" s="115"/>
      <c r="E42" s="115"/>
      <c r="F42" s="115"/>
      <c r="G42" s="115"/>
      <c r="H42" s="115"/>
      <c r="I42" s="115"/>
      <c r="J42" s="3" t="s">
        <v>1192</v>
      </c>
      <c r="K42" s="20">
        <v>1</v>
      </c>
      <c r="L42" s="106"/>
      <c r="M42" s="29">
        <f t="shared" si="23"/>
        <v>0</v>
      </c>
      <c r="Z42" s="20">
        <f t="shared" si="24"/>
        <v>0</v>
      </c>
      <c r="AB42" s="20">
        <f t="shared" si="25"/>
        <v>0</v>
      </c>
      <c r="AC42" s="20">
        <f t="shared" si="26"/>
        <v>0</v>
      </c>
      <c r="AD42" s="20">
        <f t="shared" si="27"/>
        <v>0</v>
      </c>
      <c r="AE42" s="20">
        <f t="shared" si="28"/>
        <v>0</v>
      </c>
      <c r="AF42" s="20">
        <f t="shared" si="29"/>
        <v>0</v>
      </c>
      <c r="AG42" s="20">
        <f t="shared" si="30"/>
        <v>0</v>
      </c>
      <c r="AH42" s="20">
        <f t="shared" si="31"/>
        <v>0</v>
      </c>
      <c r="AI42" s="10" t="s">
        <v>49</v>
      </c>
      <c r="AJ42" s="20">
        <f t="shared" si="32"/>
        <v>0</v>
      </c>
      <c r="AK42" s="20">
        <f t="shared" si="33"/>
        <v>0</v>
      </c>
      <c r="AL42" s="20">
        <f t="shared" si="34"/>
        <v>0</v>
      </c>
      <c r="AN42" s="20">
        <v>21</v>
      </c>
      <c r="AO42" s="20">
        <f t="shared" si="35"/>
        <v>0</v>
      </c>
      <c r="AP42" s="20">
        <f t="shared" si="36"/>
        <v>0</v>
      </c>
      <c r="AQ42" s="21" t="s">
        <v>607</v>
      </c>
      <c r="AV42" s="20">
        <f t="shared" si="37"/>
        <v>0</v>
      </c>
      <c r="AW42" s="20">
        <f t="shared" si="38"/>
        <v>0</v>
      </c>
      <c r="AX42" s="20">
        <f t="shared" si="39"/>
        <v>0</v>
      </c>
      <c r="AY42" s="21" t="s">
        <v>1214</v>
      </c>
      <c r="AZ42" s="21" t="s">
        <v>1194</v>
      </c>
      <c r="BA42" s="10" t="s">
        <v>58</v>
      </c>
      <c r="BC42" s="20">
        <f t="shared" si="40"/>
        <v>0</v>
      </c>
      <c r="BD42" s="20">
        <f t="shared" si="41"/>
        <v>0</v>
      </c>
      <c r="BE42" s="20">
        <v>0</v>
      </c>
      <c r="BF42" s="20">
        <f>42</f>
        <v>42</v>
      </c>
      <c r="BH42" s="20">
        <f t="shared" si="42"/>
        <v>0</v>
      </c>
      <c r="BI42" s="20">
        <f t="shared" si="43"/>
        <v>0</v>
      </c>
      <c r="BJ42" s="20">
        <f t="shared" si="44"/>
        <v>0</v>
      </c>
      <c r="BK42" s="20"/>
      <c r="BL42" s="20"/>
      <c r="BV42" s="20">
        <f t="shared" si="45"/>
        <v>0</v>
      </c>
    </row>
    <row r="43" spans="1:74" ht="15" customHeight="1">
      <c r="A43" s="2" t="s">
        <v>223</v>
      </c>
      <c r="B43" s="3" t="s">
        <v>1249</v>
      </c>
      <c r="C43" s="115" t="s">
        <v>1250</v>
      </c>
      <c r="D43" s="115"/>
      <c r="E43" s="115"/>
      <c r="F43" s="115"/>
      <c r="G43" s="115"/>
      <c r="H43" s="115"/>
      <c r="I43" s="115"/>
      <c r="J43" s="3" t="s">
        <v>1192</v>
      </c>
      <c r="K43" s="20">
        <v>1</v>
      </c>
      <c r="L43" s="106"/>
      <c r="M43" s="29">
        <f t="shared" si="23"/>
        <v>0</v>
      </c>
      <c r="Z43" s="20">
        <f t="shared" si="24"/>
        <v>0</v>
      </c>
      <c r="AB43" s="20">
        <f t="shared" si="25"/>
        <v>0</v>
      </c>
      <c r="AC43" s="20">
        <f t="shared" si="26"/>
        <v>0</v>
      </c>
      <c r="AD43" s="20">
        <f t="shared" si="27"/>
        <v>0</v>
      </c>
      <c r="AE43" s="20">
        <f t="shared" si="28"/>
        <v>0</v>
      </c>
      <c r="AF43" s="20">
        <f t="shared" si="29"/>
        <v>0</v>
      </c>
      <c r="AG43" s="20">
        <f t="shared" si="30"/>
        <v>0</v>
      </c>
      <c r="AH43" s="20">
        <f t="shared" si="31"/>
        <v>0</v>
      </c>
      <c r="AI43" s="10" t="s">
        <v>49</v>
      </c>
      <c r="AJ43" s="20">
        <f t="shared" si="32"/>
        <v>0</v>
      </c>
      <c r="AK43" s="20">
        <f t="shared" si="33"/>
        <v>0</v>
      </c>
      <c r="AL43" s="20">
        <f t="shared" si="34"/>
        <v>0</v>
      </c>
      <c r="AN43" s="20">
        <v>21</v>
      </c>
      <c r="AO43" s="20">
        <f t="shared" si="35"/>
        <v>0</v>
      </c>
      <c r="AP43" s="20">
        <f t="shared" si="36"/>
        <v>0</v>
      </c>
      <c r="AQ43" s="21" t="s">
        <v>607</v>
      </c>
      <c r="AV43" s="20">
        <f t="shared" si="37"/>
        <v>0</v>
      </c>
      <c r="AW43" s="20">
        <f t="shared" si="38"/>
        <v>0</v>
      </c>
      <c r="AX43" s="20">
        <f t="shared" si="39"/>
        <v>0</v>
      </c>
      <c r="AY43" s="21" t="s">
        <v>1214</v>
      </c>
      <c r="AZ43" s="21" t="s">
        <v>1194</v>
      </c>
      <c r="BA43" s="10" t="s">
        <v>58</v>
      </c>
      <c r="BC43" s="20">
        <f t="shared" si="40"/>
        <v>0</v>
      </c>
      <c r="BD43" s="20">
        <f t="shared" si="41"/>
        <v>0</v>
      </c>
      <c r="BE43" s="20">
        <v>0</v>
      </c>
      <c r="BF43" s="20">
        <f>43</f>
        <v>43</v>
      </c>
      <c r="BH43" s="20">
        <f t="shared" si="42"/>
        <v>0</v>
      </c>
      <c r="BI43" s="20">
        <f t="shared" si="43"/>
        <v>0</v>
      </c>
      <c r="BJ43" s="20">
        <f t="shared" si="44"/>
        <v>0</v>
      </c>
      <c r="BK43" s="20"/>
      <c r="BL43" s="20"/>
      <c r="BV43" s="20">
        <f t="shared" si="45"/>
        <v>0</v>
      </c>
    </row>
    <row r="44" spans="1:74" ht="15" customHeight="1">
      <c r="A44" s="2" t="s">
        <v>234</v>
      </c>
      <c r="B44" s="3" t="s">
        <v>1251</v>
      </c>
      <c r="C44" s="115" t="s">
        <v>1252</v>
      </c>
      <c r="D44" s="115"/>
      <c r="E44" s="115"/>
      <c r="F44" s="115"/>
      <c r="G44" s="115"/>
      <c r="H44" s="115"/>
      <c r="I44" s="115"/>
      <c r="J44" s="3" t="s">
        <v>1192</v>
      </c>
      <c r="K44" s="20">
        <v>1</v>
      </c>
      <c r="L44" s="106"/>
      <c r="M44" s="29">
        <f t="shared" si="23"/>
        <v>0</v>
      </c>
      <c r="Z44" s="20">
        <f t="shared" si="24"/>
        <v>0</v>
      </c>
      <c r="AB44" s="20">
        <f t="shared" si="25"/>
        <v>0</v>
      </c>
      <c r="AC44" s="20">
        <f t="shared" si="26"/>
        <v>0</v>
      </c>
      <c r="AD44" s="20">
        <f t="shared" si="27"/>
        <v>0</v>
      </c>
      <c r="AE44" s="20">
        <f t="shared" si="28"/>
        <v>0</v>
      </c>
      <c r="AF44" s="20">
        <f t="shared" si="29"/>
        <v>0</v>
      </c>
      <c r="AG44" s="20">
        <f t="shared" si="30"/>
        <v>0</v>
      </c>
      <c r="AH44" s="20">
        <f t="shared" si="31"/>
        <v>0</v>
      </c>
      <c r="AI44" s="10" t="s">
        <v>49</v>
      </c>
      <c r="AJ44" s="20">
        <f t="shared" si="32"/>
        <v>0</v>
      </c>
      <c r="AK44" s="20">
        <f t="shared" si="33"/>
        <v>0</v>
      </c>
      <c r="AL44" s="20">
        <f t="shared" si="34"/>
        <v>0</v>
      </c>
      <c r="AN44" s="20">
        <v>21</v>
      </c>
      <c r="AO44" s="20">
        <f t="shared" si="35"/>
        <v>0</v>
      </c>
      <c r="AP44" s="20">
        <f t="shared" si="36"/>
        <v>0</v>
      </c>
      <c r="AQ44" s="21" t="s">
        <v>607</v>
      </c>
      <c r="AV44" s="20">
        <f t="shared" si="37"/>
        <v>0</v>
      </c>
      <c r="AW44" s="20">
        <f t="shared" si="38"/>
        <v>0</v>
      </c>
      <c r="AX44" s="20">
        <f t="shared" si="39"/>
        <v>0</v>
      </c>
      <c r="AY44" s="21" t="s">
        <v>1214</v>
      </c>
      <c r="AZ44" s="21" t="s">
        <v>1194</v>
      </c>
      <c r="BA44" s="10" t="s">
        <v>58</v>
      </c>
      <c r="BC44" s="20">
        <f t="shared" si="40"/>
        <v>0</v>
      </c>
      <c r="BD44" s="20">
        <f t="shared" si="41"/>
        <v>0</v>
      </c>
      <c r="BE44" s="20">
        <v>0</v>
      </c>
      <c r="BF44" s="20">
        <f>44</f>
        <v>44</v>
      </c>
      <c r="BH44" s="20">
        <f t="shared" si="42"/>
        <v>0</v>
      </c>
      <c r="BI44" s="20">
        <f t="shared" si="43"/>
        <v>0</v>
      </c>
      <c r="BJ44" s="20">
        <f t="shared" si="44"/>
        <v>0</v>
      </c>
      <c r="BK44" s="20"/>
      <c r="BL44" s="20"/>
      <c r="BV44" s="20">
        <f t="shared" si="45"/>
        <v>0</v>
      </c>
    </row>
    <row r="45" spans="1:74" ht="15" customHeight="1">
      <c r="A45" s="2" t="s">
        <v>242</v>
      </c>
      <c r="B45" s="3" t="s">
        <v>1253</v>
      </c>
      <c r="C45" s="115" t="s">
        <v>1254</v>
      </c>
      <c r="D45" s="115"/>
      <c r="E45" s="115"/>
      <c r="F45" s="115"/>
      <c r="G45" s="115"/>
      <c r="H45" s="115"/>
      <c r="I45" s="115"/>
      <c r="J45" s="3" t="s">
        <v>1192</v>
      </c>
      <c r="K45" s="20">
        <v>1</v>
      </c>
      <c r="L45" s="106"/>
      <c r="M45" s="29">
        <f t="shared" si="23"/>
        <v>0</v>
      </c>
      <c r="Z45" s="20">
        <f t="shared" si="24"/>
        <v>0</v>
      </c>
      <c r="AB45" s="20">
        <f t="shared" si="25"/>
        <v>0</v>
      </c>
      <c r="AC45" s="20">
        <f t="shared" si="26"/>
        <v>0</v>
      </c>
      <c r="AD45" s="20">
        <f t="shared" si="27"/>
        <v>0</v>
      </c>
      <c r="AE45" s="20">
        <f t="shared" si="28"/>
        <v>0</v>
      </c>
      <c r="AF45" s="20">
        <f t="shared" si="29"/>
        <v>0</v>
      </c>
      <c r="AG45" s="20">
        <f t="shared" si="30"/>
        <v>0</v>
      </c>
      <c r="AH45" s="20">
        <f t="shared" si="31"/>
        <v>0</v>
      </c>
      <c r="AI45" s="10" t="s">
        <v>49</v>
      </c>
      <c r="AJ45" s="20">
        <f t="shared" si="32"/>
        <v>0</v>
      </c>
      <c r="AK45" s="20">
        <f t="shared" si="33"/>
        <v>0</v>
      </c>
      <c r="AL45" s="20">
        <f t="shared" si="34"/>
        <v>0</v>
      </c>
      <c r="AN45" s="20">
        <v>21</v>
      </c>
      <c r="AO45" s="20">
        <f t="shared" si="35"/>
        <v>0</v>
      </c>
      <c r="AP45" s="20">
        <f t="shared" si="36"/>
        <v>0</v>
      </c>
      <c r="AQ45" s="21" t="s">
        <v>607</v>
      </c>
      <c r="AV45" s="20">
        <f t="shared" si="37"/>
        <v>0</v>
      </c>
      <c r="AW45" s="20">
        <f t="shared" si="38"/>
        <v>0</v>
      </c>
      <c r="AX45" s="20">
        <f t="shared" si="39"/>
        <v>0</v>
      </c>
      <c r="AY45" s="21" t="s">
        <v>1214</v>
      </c>
      <c r="AZ45" s="21" t="s">
        <v>1194</v>
      </c>
      <c r="BA45" s="10" t="s">
        <v>58</v>
      </c>
      <c r="BC45" s="20">
        <f t="shared" si="40"/>
        <v>0</v>
      </c>
      <c r="BD45" s="20">
        <f t="shared" si="41"/>
        <v>0</v>
      </c>
      <c r="BE45" s="20">
        <v>0</v>
      </c>
      <c r="BF45" s="20">
        <f>45</f>
        <v>45</v>
      </c>
      <c r="BH45" s="20">
        <f t="shared" si="42"/>
        <v>0</v>
      </c>
      <c r="BI45" s="20">
        <f t="shared" si="43"/>
        <v>0</v>
      </c>
      <c r="BJ45" s="20">
        <f t="shared" si="44"/>
        <v>0</v>
      </c>
      <c r="BK45" s="20"/>
      <c r="BL45" s="20"/>
      <c r="BV45" s="20">
        <f t="shared" si="45"/>
        <v>0</v>
      </c>
    </row>
    <row r="46" spans="1:74" ht="15" customHeight="1">
      <c r="A46" s="22" t="s">
        <v>251</v>
      </c>
      <c r="B46" s="23" t="s">
        <v>1255</v>
      </c>
      <c r="C46" s="131" t="s">
        <v>1256</v>
      </c>
      <c r="D46" s="131"/>
      <c r="E46" s="131"/>
      <c r="F46" s="131"/>
      <c r="G46" s="131"/>
      <c r="H46" s="131"/>
      <c r="I46" s="131"/>
      <c r="J46" s="23" t="s">
        <v>1192</v>
      </c>
      <c r="K46" s="24">
        <v>1</v>
      </c>
      <c r="L46" s="107"/>
      <c r="M46" s="30">
        <f t="shared" si="23"/>
        <v>0</v>
      </c>
      <c r="Z46" s="20">
        <f t="shared" si="24"/>
        <v>0</v>
      </c>
      <c r="AB46" s="20">
        <f t="shared" si="25"/>
        <v>0</v>
      </c>
      <c r="AC46" s="20">
        <f t="shared" si="26"/>
        <v>0</v>
      </c>
      <c r="AD46" s="20">
        <f t="shared" si="27"/>
        <v>0</v>
      </c>
      <c r="AE46" s="20">
        <f t="shared" si="28"/>
        <v>0</v>
      </c>
      <c r="AF46" s="20">
        <f t="shared" si="29"/>
        <v>0</v>
      </c>
      <c r="AG46" s="20">
        <f t="shared" si="30"/>
        <v>0</v>
      </c>
      <c r="AH46" s="20">
        <f t="shared" si="31"/>
        <v>0</v>
      </c>
      <c r="AI46" s="10" t="s">
        <v>49</v>
      </c>
      <c r="AJ46" s="20">
        <f t="shared" si="32"/>
        <v>0</v>
      </c>
      <c r="AK46" s="20">
        <f t="shared" si="33"/>
        <v>0</v>
      </c>
      <c r="AL46" s="20">
        <f t="shared" si="34"/>
        <v>0</v>
      </c>
      <c r="AN46" s="20">
        <v>21</v>
      </c>
      <c r="AO46" s="20">
        <f t="shared" si="35"/>
        <v>0</v>
      </c>
      <c r="AP46" s="20">
        <f t="shared" si="36"/>
        <v>0</v>
      </c>
      <c r="AQ46" s="21" t="s">
        <v>607</v>
      </c>
      <c r="AV46" s="20">
        <f t="shared" si="37"/>
        <v>0</v>
      </c>
      <c r="AW46" s="20">
        <f t="shared" si="38"/>
        <v>0</v>
      </c>
      <c r="AX46" s="20">
        <f t="shared" si="39"/>
        <v>0</v>
      </c>
      <c r="AY46" s="21" t="s">
        <v>1214</v>
      </c>
      <c r="AZ46" s="21" t="s">
        <v>1194</v>
      </c>
      <c r="BA46" s="10" t="s">
        <v>58</v>
      </c>
      <c r="BC46" s="20">
        <f t="shared" si="40"/>
        <v>0</v>
      </c>
      <c r="BD46" s="20">
        <f t="shared" si="41"/>
        <v>0</v>
      </c>
      <c r="BE46" s="20">
        <v>0</v>
      </c>
      <c r="BF46" s="20">
        <f>46</f>
        <v>46</v>
      </c>
      <c r="BH46" s="20">
        <f t="shared" si="42"/>
        <v>0</v>
      </c>
      <c r="BI46" s="20">
        <f t="shared" si="43"/>
        <v>0</v>
      </c>
      <c r="BJ46" s="20">
        <f t="shared" si="44"/>
        <v>0</v>
      </c>
      <c r="BK46" s="20"/>
      <c r="BL46" s="20"/>
      <c r="BV46" s="20">
        <f t="shared" si="45"/>
        <v>0</v>
      </c>
    </row>
    <row r="47" ht="15" customHeight="1">
      <c r="M47" s="25">
        <f>M13+M23</f>
        <v>0</v>
      </c>
    </row>
    <row r="48" ht="15" customHeight="1">
      <c r="A48" s="26" t="s">
        <v>1053</v>
      </c>
    </row>
    <row r="49" spans="1:13" ht="15" customHeight="1">
      <c r="A49" s="114" t="s">
        <v>49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</row>
    <row r="50" ht="15" customHeight="1"/>
    <row r="51" ht="12.75" customHeight="1"/>
  </sheetData>
  <sheetProtection algorithmName="SHA-512" hashValue="uEbLhVIDdjRARQYmpIBX82DaINuDcz4bggRx9CVDlEJ9+VcKdN5wYBnEO63XIrhGsGsXuG5oPzR7j81zeHq62w==" saltValue="ida9ywYzZO0ozBwpRrwRcA==" spinCount="100000" sheet="1" objects="1" scenarios="1"/>
  <mergeCells count="63">
    <mergeCell ref="A1:M1"/>
    <mergeCell ref="A2:B3"/>
    <mergeCell ref="C2:D3"/>
    <mergeCell ref="E2:F3"/>
    <mergeCell ref="G2:G3"/>
    <mergeCell ref="H2:H3"/>
    <mergeCell ref="I2:M3"/>
    <mergeCell ref="I6:M7"/>
    <mergeCell ref="A4:B5"/>
    <mergeCell ref="C4:D5"/>
    <mergeCell ref="E4:F5"/>
    <mergeCell ref="G4:G5"/>
    <mergeCell ref="H4:H5"/>
    <mergeCell ref="I4:M5"/>
    <mergeCell ref="A6:B7"/>
    <mergeCell ref="C6:D7"/>
    <mergeCell ref="E6:F7"/>
    <mergeCell ref="G6:G7"/>
    <mergeCell ref="H6:H7"/>
    <mergeCell ref="C15:I15"/>
    <mergeCell ref="A8:B9"/>
    <mergeCell ref="C8:D9"/>
    <mergeCell ref="E8:F9"/>
    <mergeCell ref="G8:G9"/>
    <mergeCell ref="H8:H9"/>
    <mergeCell ref="I8:M9"/>
    <mergeCell ref="C10:I10"/>
    <mergeCell ref="C11:I11"/>
    <mergeCell ref="C12:I12"/>
    <mergeCell ref="C13:I13"/>
    <mergeCell ref="C14:I14"/>
    <mergeCell ref="C27:I27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39:I39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A49:M49"/>
    <mergeCell ref="C46:I46"/>
    <mergeCell ref="C40:I40"/>
    <mergeCell ref="C41:I41"/>
    <mergeCell ref="C42:I42"/>
    <mergeCell ref="C43:I43"/>
    <mergeCell ref="C44:I44"/>
    <mergeCell ref="C45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62"/>
  <sheetViews>
    <sheetView workbookViewId="0" topLeftCell="A464">
      <selection activeCell="H484" sqref="H484"/>
    </sheetView>
  </sheetViews>
  <sheetFormatPr defaultColWidth="12.140625" defaultRowHeight="15"/>
  <cols>
    <col min="1" max="1" width="4.00390625" style="64" customWidth="1"/>
    <col min="2" max="2" width="17.8515625" style="64" customWidth="1"/>
    <col min="3" max="3" width="47.140625" style="64" customWidth="1"/>
    <col min="4" max="4" width="15.7109375" style="64" customWidth="1"/>
    <col min="5" max="5" width="11.140625" style="64" customWidth="1"/>
    <col min="6" max="6" width="10.421875" style="64" customWidth="1"/>
    <col min="7" max="8" width="2.421875" style="64" customWidth="1"/>
    <col min="9" max="9" width="77.421875" style="64" customWidth="1"/>
    <col min="10" max="10" width="4.28125" style="64" customWidth="1"/>
    <col min="11" max="11" width="12.8515625" style="64" customWidth="1"/>
    <col min="12" max="12" width="12.00390625" style="64" customWidth="1"/>
    <col min="13" max="13" width="15.7109375" style="64" customWidth="1"/>
    <col min="14" max="24" width="12.140625" style="64" customWidth="1"/>
    <col min="25" max="74" width="12.140625" style="64" hidden="1" customWidth="1"/>
    <col min="75" max="256" width="12.140625" style="64" customWidth="1"/>
    <col min="257" max="257" width="4.00390625" style="64" customWidth="1"/>
    <col min="258" max="258" width="17.8515625" style="64" customWidth="1"/>
    <col min="259" max="259" width="47.140625" style="64" customWidth="1"/>
    <col min="260" max="260" width="15.7109375" style="64" customWidth="1"/>
    <col min="261" max="261" width="11.140625" style="64" customWidth="1"/>
    <col min="262" max="262" width="10.421875" style="64" customWidth="1"/>
    <col min="263" max="264" width="2.421875" style="64" customWidth="1"/>
    <col min="265" max="265" width="77.421875" style="64" customWidth="1"/>
    <col min="266" max="266" width="4.28125" style="64" customWidth="1"/>
    <col min="267" max="267" width="12.8515625" style="64" customWidth="1"/>
    <col min="268" max="268" width="12.00390625" style="64" customWidth="1"/>
    <col min="269" max="269" width="15.7109375" style="64" customWidth="1"/>
    <col min="270" max="280" width="12.140625" style="64" customWidth="1"/>
    <col min="281" max="330" width="12.140625" style="64" hidden="1" customWidth="1"/>
    <col min="331" max="512" width="12.140625" style="64" customWidth="1"/>
    <col min="513" max="513" width="4.00390625" style="64" customWidth="1"/>
    <col min="514" max="514" width="17.8515625" style="64" customWidth="1"/>
    <col min="515" max="515" width="47.140625" style="64" customWidth="1"/>
    <col min="516" max="516" width="15.7109375" style="64" customWidth="1"/>
    <col min="517" max="517" width="11.140625" style="64" customWidth="1"/>
    <col min="518" max="518" width="10.421875" style="64" customWidth="1"/>
    <col min="519" max="520" width="2.421875" style="64" customWidth="1"/>
    <col min="521" max="521" width="77.421875" style="64" customWidth="1"/>
    <col min="522" max="522" width="4.28125" style="64" customWidth="1"/>
    <col min="523" max="523" width="12.8515625" style="64" customWidth="1"/>
    <col min="524" max="524" width="12.00390625" style="64" customWidth="1"/>
    <col min="525" max="525" width="15.7109375" style="64" customWidth="1"/>
    <col min="526" max="536" width="12.140625" style="64" customWidth="1"/>
    <col min="537" max="586" width="12.140625" style="64" hidden="1" customWidth="1"/>
    <col min="587" max="768" width="12.140625" style="64" customWidth="1"/>
    <col min="769" max="769" width="4.00390625" style="64" customWidth="1"/>
    <col min="770" max="770" width="17.8515625" style="64" customWidth="1"/>
    <col min="771" max="771" width="47.140625" style="64" customWidth="1"/>
    <col min="772" max="772" width="15.7109375" style="64" customWidth="1"/>
    <col min="773" max="773" width="11.140625" style="64" customWidth="1"/>
    <col min="774" max="774" width="10.421875" style="64" customWidth="1"/>
    <col min="775" max="776" width="2.421875" style="64" customWidth="1"/>
    <col min="777" max="777" width="77.421875" style="64" customWidth="1"/>
    <col min="778" max="778" width="4.28125" style="64" customWidth="1"/>
    <col min="779" max="779" width="12.8515625" style="64" customWidth="1"/>
    <col min="780" max="780" width="12.00390625" style="64" customWidth="1"/>
    <col min="781" max="781" width="15.7109375" style="64" customWidth="1"/>
    <col min="782" max="792" width="12.140625" style="64" customWidth="1"/>
    <col min="793" max="842" width="12.140625" style="64" hidden="1" customWidth="1"/>
    <col min="843" max="1024" width="12.140625" style="64" customWidth="1"/>
    <col min="1025" max="1025" width="4.00390625" style="64" customWidth="1"/>
    <col min="1026" max="1026" width="17.8515625" style="64" customWidth="1"/>
    <col min="1027" max="1027" width="47.140625" style="64" customWidth="1"/>
    <col min="1028" max="1028" width="15.7109375" style="64" customWidth="1"/>
    <col min="1029" max="1029" width="11.140625" style="64" customWidth="1"/>
    <col min="1030" max="1030" width="10.421875" style="64" customWidth="1"/>
    <col min="1031" max="1032" width="2.421875" style="64" customWidth="1"/>
    <col min="1033" max="1033" width="77.421875" style="64" customWidth="1"/>
    <col min="1034" max="1034" width="4.28125" style="64" customWidth="1"/>
    <col min="1035" max="1035" width="12.8515625" style="64" customWidth="1"/>
    <col min="1036" max="1036" width="12.00390625" style="64" customWidth="1"/>
    <col min="1037" max="1037" width="15.7109375" style="64" customWidth="1"/>
    <col min="1038" max="1048" width="12.140625" style="64" customWidth="1"/>
    <col min="1049" max="1098" width="12.140625" style="64" hidden="1" customWidth="1"/>
    <col min="1099" max="1280" width="12.140625" style="64" customWidth="1"/>
    <col min="1281" max="1281" width="4.00390625" style="64" customWidth="1"/>
    <col min="1282" max="1282" width="17.8515625" style="64" customWidth="1"/>
    <col min="1283" max="1283" width="47.140625" style="64" customWidth="1"/>
    <col min="1284" max="1284" width="15.7109375" style="64" customWidth="1"/>
    <col min="1285" max="1285" width="11.140625" style="64" customWidth="1"/>
    <col min="1286" max="1286" width="10.421875" style="64" customWidth="1"/>
    <col min="1287" max="1288" width="2.421875" style="64" customWidth="1"/>
    <col min="1289" max="1289" width="77.421875" style="64" customWidth="1"/>
    <col min="1290" max="1290" width="4.28125" style="64" customWidth="1"/>
    <col min="1291" max="1291" width="12.8515625" style="64" customWidth="1"/>
    <col min="1292" max="1292" width="12.00390625" style="64" customWidth="1"/>
    <col min="1293" max="1293" width="15.7109375" style="64" customWidth="1"/>
    <col min="1294" max="1304" width="12.140625" style="64" customWidth="1"/>
    <col min="1305" max="1354" width="12.140625" style="64" hidden="1" customWidth="1"/>
    <col min="1355" max="1536" width="12.140625" style="64" customWidth="1"/>
    <col min="1537" max="1537" width="4.00390625" style="64" customWidth="1"/>
    <col min="1538" max="1538" width="17.8515625" style="64" customWidth="1"/>
    <col min="1539" max="1539" width="47.140625" style="64" customWidth="1"/>
    <col min="1540" max="1540" width="15.7109375" style="64" customWidth="1"/>
    <col min="1541" max="1541" width="11.140625" style="64" customWidth="1"/>
    <col min="1542" max="1542" width="10.421875" style="64" customWidth="1"/>
    <col min="1543" max="1544" width="2.421875" style="64" customWidth="1"/>
    <col min="1545" max="1545" width="77.421875" style="64" customWidth="1"/>
    <col min="1546" max="1546" width="4.28125" style="64" customWidth="1"/>
    <col min="1547" max="1547" width="12.8515625" style="64" customWidth="1"/>
    <col min="1548" max="1548" width="12.00390625" style="64" customWidth="1"/>
    <col min="1549" max="1549" width="15.7109375" style="64" customWidth="1"/>
    <col min="1550" max="1560" width="12.140625" style="64" customWidth="1"/>
    <col min="1561" max="1610" width="12.140625" style="64" hidden="1" customWidth="1"/>
    <col min="1611" max="1792" width="12.140625" style="64" customWidth="1"/>
    <col min="1793" max="1793" width="4.00390625" style="64" customWidth="1"/>
    <col min="1794" max="1794" width="17.8515625" style="64" customWidth="1"/>
    <col min="1795" max="1795" width="47.140625" style="64" customWidth="1"/>
    <col min="1796" max="1796" width="15.7109375" style="64" customWidth="1"/>
    <col min="1797" max="1797" width="11.140625" style="64" customWidth="1"/>
    <col min="1798" max="1798" width="10.421875" style="64" customWidth="1"/>
    <col min="1799" max="1800" width="2.421875" style="64" customWidth="1"/>
    <col min="1801" max="1801" width="77.421875" style="64" customWidth="1"/>
    <col min="1802" max="1802" width="4.28125" style="64" customWidth="1"/>
    <col min="1803" max="1803" width="12.8515625" style="64" customWidth="1"/>
    <col min="1804" max="1804" width="12.00390625" style="64" customWidth="1"/>
    <col min="1805" max="1805" width="15.7109375" style="64" customWidth="1"/>
    <col min="1806" max="1816" width="12.140625" style="64" customWidth="1"/>
    <col min="1817" max="1866" width="12.140625" style="64" hidden="1" customWidth="1"/>
    <col min="1867" max="2048" width="12.140625" style="64" customWidth="1"/>
    <col min="2049" max="2049" width="4.00390625" style="64" customWidth="1"/>
    <col min="2050" max="2050" width="17.8515625" style="64" customWidth="1"/>
    <col min="2051" max="2051" width="47.140625" style="64" customWidth="1"/>
    <col min="2052" max="2052" width="15.7109375" style="64" customWidth="1"/>
    <col min="2053" max="2053" width="11.140625" style="64" customWidth="1"/>
    <col min="2054" max="2054" width="10.421875" style="64" customWidth="1"/>
    <col min="2055" max="2056" width="2.421875" style="64" customWidth="1"/>
    <col min="2057" max="2057" width="77.421875" style="64" customWidth="1"/>
    <col min="2058" max="2058" width="4.28125" style="64" customWidth="1"/>
    <col min="2059" max="2059" width="12.8515625" style="64" customWidth="1"/>
    <col min="2060" max="2060" width="12.00390625" style="64" customWidth="1"/>
    <col min="2061" max="2061" width="15.7109375" style="64" customWidth="1"/>
    <col min="2062" max="2072" width="12.140625" style="64" customWidth="1"/>
    <col min="2073" max="2122" width="12.140625" style="64" hidden="1" customWidth="1"/>
    <col min="2123" max="2304" width="12.140625" style="64" customWidth="1"/>
    <col min="2305" max="2305" width="4.00390625" style="64" customWidth="1"/>
    <col min="2306" max="2306" width="17.8515625" style="64" customWidth="1"/>
    <col min="2307" max="2307" width="47.140625" style="64" customWidth="1"/>
    <col min="2308" max="2308" width="15.7109375" style="64" customWidth="1"/>
    <col min="2309" max="2309" width="11.140625" style="64" customWidth="1"/>
    <col min="2310" max="2310" width="10.421875" style="64" customWidth="1"/>
    <col min="2311" max="2312" width="2.421875" style="64" customWidth="1"/>
    <col min="2313" max="2313" width="77.421875" style="64" customWidth="1"/>
    <col min="2314" max="2314" width="4.28125" style="64" customWidth="1"/>
    <col min="2315" max="2315" width="12.8515625" style="64" customWidth="1"/>
    <col min="2316" max="2316" width="12.00390625" style="64" customWidth="1"/>
    <col min="2317" max="2317" width="15.7109375" style="64" customWidth="1"/>
    <col min="2318" max="2328" width="12.140625" style="64" customWidth="1"/>
    <col min="2329" max="2378" width="12.140625" style="64" hidden="1" customWidth="1"/>
    <col min="2379" max="2560" width="12.140625" style="64" customWidth="1"/>
    <col min="2561" max="2561" width="4.00390625" style="64" customWidth="1"/>
    <col min="2562" max="2562" width="17.8515625" style="64" customWidth="1"/>
    <col min="2563" max="2563" width="47.140625" style="64" customWidth="1"/>
    <col min="2564" max="2564" width="15.7109375" style="64" customWidth="1"/>
    <col min="2565" max="2565" width="11.140625" style="64" customWidth="1"/>
    <col min="2566" max="2566" width="10.421875" style="64" customWidth="1"/>
    <col min="2567" max="2568" width="2.421875" style="64" customWidth="1"/>
    <col min="2569" max="2569" width="77.421875" style="64" customWidth="1"/>
    <col min="2570" max="2570" width="4.28125" style="64" customWidth="1"/>
    <col min="2571" max="2571" width="12.8515625" style="64" customWidth="1"/>
    <col min="2572" max="2572" width="12.00390625" style="64" customWidth="1"/>
    <col min="2573" max="2573" width="15.7109375" style="64" customWidth="1"/>
    <col min="2574" max="2584" width="12.140625" style="64" customWidth="1"/>
    <col min="2585" max="2634" width="12.140625" style="64" hidden="1" customWidth="1"/>
    <col min="2635" max="2816" width="12.140625" style="64" customWidth="1"/>
    <col min="2817" max="2817" width="4.00390625" style="64" customWidth="1"/>
    <col min="2818" max="2818" width="17.8515625" style="64" customWidth="1"/>
    <col min="2819" max="2819" width="47.140625" style="64" customWidth="1"/>
    <col min="2820" max="2820" width="15.7109375" style="64" customWidth="1"/>
    <col min="2821" max="2821" width="11.140625" style="64" customWidth="1"/>
    <col min="2822" max="2822" width="10.421875" style="64" customWidth="1"/>
    <col min="2823" max="2824" width="2.421875" style="64" customWidth="1"/>
    <col min="2825" max="2825" width="77.421875" style="64" customWidth="1"/>
    <col min="2826" max="2826" width="4.28125" style="64" customWidth="1"/>
    <col min="2827" max="2827" width="12.8515625" style="64" customWidth="1"/>
    <col min="2828" max="2828" width="12.00390625" style="64" customWidth="1"/>
    <col min="2829" max="2829" width="15.7109375" style="64" customWidth="1"/>
    <col min="2830" max="2840" width="12.140625" style="64" customWidth="1"/>
    <col min="2841" max="2890" width="12.140625" style="64" hidden="1" customWidth="1"/>
    <col min="2891" max="3072" width="12.140625" style="64" customWidth="1"/>
    <col min="3073" max="3073" width="4.00390625" style="64" customWidth="1"/>
    <col min="3074" max="3074" width="17.8515625" style="64" customWidth="1"/>
    <col min="3075" max="3075" width="47.140625" style="64" customWidth="1"/>
    <col min="3076" max="3076" width="15.7109375" style="64" customWidth="1"/>
    <col min="3077" max="3077" width="11.140625" style="64" customWidth="1"/>
    <col min="3078" max="3078" width="10.421875" style="64" customWidth="1"/>
    <col min="3079" max="3080" width="2.421875" style="64" customWidth="1"/>
    <col min="3081" max="3081" width="77.421875" style="64" customWidth="1"/>
    <col min="3082" max="3082" width="4.28125" style="64" customWidth="1"/>
    <col min="3083" max="3083" width="12.8515625" style="64" customWidth="1"/>
    <col min="3084" max="3084" width="12.00390625" style="64" customWidth="1"/>
    <col min="3085" max="3085" width="15.7109375" style="64" customWidth="1"/>
    <col min="3086" max="3096" width="12.140625" style="64" customWidth="1"/>
    <col min="3097" max="3146" width="12.140625" style="64" hidden="1" customWidth="1"/>
    <col min="3147" max="3328" width="12.140625" style="64" customWidth="1"/>
    <col min="3329" max="3329" width="4.00390625" style="64" customWidth="1"/>
    <col min="3330" max="3330" width="17.8515625" style="64" customWidth="1"/>
    <col min="3331" max="3331" width="47.140625" style="64" customWidth="1"/>
    <col min="3332" max="3332" width="15.7109375" style="64" customWidth="1"/>
    <col min="3333" max="3333" width="11.140625" style="64" customWidth="1"/>
    <col min="3334" max="3334" width="10.421875" style="64" customWidth="1"/>
    <col min="3335" max="3336" width="2.421875" style="64" customWidth="1"/>
    <col min="3337" max="3337" width="77.421875" style="64" customWidth="1"/>
    <col min="3338" max="3338" width="4.28125" style="64" customWidth="1"/>
    <col min="3339" max="3339" width="12.8515625" style="64" customWidth="1"/>
    <col min="3340" max="3340" width="12.00390625" style="64" customWidth="1"/>
    <col min="3341" max="3341" width="15.7109375" style="64" customWidth="1"/>
    <col min="3342" max="3352" width="12.140625" style="64" customWidth="1"/>
    <col min="3353" max="3402" width="12.140625" style="64" hidden="1" customWidth="1"/>
    <col min="3403" max="3584" width="12.140625" style="64" customWidth="1"/>
    <col min="3585" max="3585" width="4.00390625" style="64" customWidth="1"/>
    <col min="3586" max="3586" width="17.8515625" style="64" customWidth="1"/>
    <col min="3587" max="3587" width="47.140625" style="64" customWidth="1"/>
    <col min="3588" max="3588" width="15.7109375" style="64" customWidth="1"/>
    <col min="3589" max="3589" width="11.140625" style="64" customWidth="1"/>
    <col min="3590" max="3590" width="10.421875" style="64" customWidth="1"/>
    <col min="3591" max="3592" width="2.421875" style="64" customWidth="1"/>
    <col min="3593" max="3593" width="77.421875" style="64" customWidth="1"/>
    <col min="3594" max="3594" width="4.28125" style="64" customWidth="1"/>
    <col min="3595" max="3595" width="12.8515625" style="64" customWidth="1"/>
    <col min="3596" max="3596" width="12.00390625" style="64" customWidth="1"/>
    <col min="3597" max="3597" width="15.7109375" style="64" customWidth="1"/>
    <col min="3598" max="3608" width="12.140625" style="64" customWidth="1"/>
    <col min="3609" max="3658" width="12.140625" style="64" hidden="1" customWidth="1"/>
    <col min="3659" max="3840" width="12.140625" style="64" customWidth="1"/>
    <col min="3841" max="3841" width="4.00390625" style="64" customWidth="1"/>
    <col min="3842" max="3842" width="17.8515625" style="64" customWidth="1"/>
    <col min="3843" max="3843" width="47.140625" style="64" customWidth="1"/>
    <col min="3844" max="3844" width="15.7109375" style="64" customWidth="1"/>
    <col min="3845" max="3845" width="11.140625" style="64" customWidth="1"/>
    <col min="3846" max="3846" width="10.421875" style="64" customWidth="1"/>
    <col min="3847" max="3848" width="2.421875" style="64" customWidth="1"/>
    <col min="3849" max="3849" width="77.421875" style="64" customWidth="1"/>
    <col min="3850" max="3850" width="4.28125" style="64" customWidth="1"/>
    <col min="3851" max="3851" width="12.8515625" style="64" customWidth="1"/>
    <col min="3852" max="3852" width="12.00390625" style="64" customWidth="1"/>
    <col min="3853" max="3853" width="15.7109375" style="64" customWidth="1"/>
    <col min="3854" max="3864" width="12.140625" style="64" customWidth="1"/>
    <col min="3865" max="3914" width="12.140625" style="64" hidden="1" customWidth="1"/>
    <col min="3915" max="4096" width="12.140625" style="64" customWidth="1"/>
    <col min="4097" max="4097" width="4.00390625" style="64" customWidth="1"/>
    <col min="4098" max="4098" width="17.8515625" style="64" customWidth="1"/>
    <col min="4099" max="4099" width="47.140625" style="64" customWidth="1"/>
    <col min="4100" max="4100" width="15.7109375" style="64" customWidth="1"/>
    <col min="4101" max="4101" width="11.140625" style="64" customWidth="1"/>
    <col min="4102" max="4102" width="10.421875" style="64" customWidth="1"/>
    <col min="4103" max="4104" width="2.421875" style="64" customWidth="1"/>
    <col min="4105" max="4105" width="77.421875" style="64" customWidth="1"/>
    <col min="4106" max="4106" width="4.28125" style="64" customWidth="1"/>
    <col min="4107" max="4107" width="12.8515625" style="64" customWidth="1"/>
    <col min="4108" max="4108" width="12.00390625" style="64" customWidth="1"/>
    <col min="4109" max="4109" width="15.7109375" style="64" customWidth="1"/>
    <col min="4110" max="4120" width="12.140625" style="64" customWidth="1"/>
    <col min="4121" max="4170" width="12.140625" style="64" hidden="1" customWidth="1"/>
    <col min="4171" max="4352" width="12.140625" style="64" customWidth="1"/>
    <col min="4353" max="4353" width="4.00390625" style="64" customWidth="1"/>
    <col min="4354" max="4354" width="17.8515625" style="64" customWidth="1"/>
    <col min="4355" max="4355" width="47.140625" style="64" customWidth="1"/>
    <col min="4356" max="4356" width="15.7109375" style="64" customWidth="1"/>
    <col min="4357" max="4357" width="11.140625" style="64" customWidth="1"/>
    <col min="4358" max="4358" width="10.421875" style="64" customWidth="1"/>
    <col min="4359" max="4360" width="2.421875" style="64" customWidth="1"/>
    <col min="4361" max="4361" width="77.421875" style="64" customWidth="1"/>
    <col min="4362" max="4362" width="4.28125" style="64" customWidth="1"/>
    <col min="4363" max="4363" width="12.8515625" style="64" customWidth="1"/>
    <col min="4364" max="4364" width="12.00390625" style="64" customWidth="1"/>
    <col min="4365" max="4365" width="15.7109375" style="64" customWidth="1"/>
    <col min="4366" max="4376" width="12.140625" style="64" customWidth="1"/>
    <col min="4377" max="4426" width="12.140625" style="64" hidden="1" customWidth="1"/>
    <col min="4427" max="4608" width="12.140625" style="64" customWidth="1"/>
    <col min="4609" max="4609" width="4.00390625" style="64" customWidth="1"/>
    <col min="4610" max="4610" width="17.8515625" style="64" customWidth="1"/>
    <col min="4611" max="4611" width="47.140625" style="64" customWidth="1"/>
    <col min="4612" max="4612" width="15.7109375" style="64" customWidth="1"/>
    <col min="4613" max="4613" width="11.140625" style="64" customWidth="1"/>
    <col min="4614" max="4614" width="10.421875" style="64" customWidth="1"/>
    <col min="4615" max="4616" width="2.421875" style="64" customWidth="1"/>
    <col min="4617" max="4617" width="77.421875" style="64" customWidth="1"/>
    <col min="4618" max="4618" width="4.28125" style="64" customWidth="1"/>
    <col min="4619" max="4619" width="12.8515625" style="64" customWidth="1"/>
    <col min="4620" max="4620" width="12.00390625" style="64" customWidth="1"/>
    <col min="4621" max="4621" width="15.7109375" style="64" customWidth="1"/>
    <col min="4622" max="4632" width="12.140625" style="64" customWidth="1"/>
    <col min="4633" max="4682" width="12.140625" style="64" hidden="1" customWidth="1"/>
    <col min="4683" max="4864" width="12.140625" style="64" customWidth="1"/>
    <col min="4865" max="4865" width="4.00390625" style="64" customWidth="1"/>
    <col min="4866" max="4866" width="17.8515625" style="64" customWidth="1"/>
    <col min="4867" max="4867" width="47.140625" style="64" customWidth="1"/>
    <col min="4868" max="4868" width="15.7109375" style="64" customWidth="1"/>
    <col min="4869" max="4869" width="11.140625" style="64" customWidth="1"/>
    <col min="4870" max="4870" width="10.421875" style="64" customWidth="1"/>
    <col min="4871" max="4872" width="2.421875" style="64" customWidth="1"/>
    <col min="4873" max="4873" width="77.421875" style="64" customWidth="1"/>
    <col min="4874" max="4874" width="4.28125" style="64" customWidth="1"/>
    <col min="4875" max="4875" width="12.8515625" style="64" customWidth="1"/>
    <col min="4876" max="4876" width="12.00390625" style="64" customWidth="1"/>
    <col min="4877" max="4877" width="15.7109375" style="64" customWidth="1"/>
    <col min="4878" max="4888" width="12.140625" style="64" customWidth="1"/>
    <col min="4889" max="4938" width="12.140625" style="64" hidden="1" customWidth="1"/>
    <col min="4939" max="5120" width="12.140625" style="64" customWidth="1"/>
    <col min="5121" max="5121" width="4.00390625" style="64" customWidth="1"/>
    <col min="5122" max="5122" width="17.8515625" style="64" customWidth="1"/>
    <col min="5123" max="5123" width="47.140625" style="64" customWidth="1"/>
    <col min="5124" max="5124" width="15.7109375" style="64" customWidth="1"/>
    <col min="5125" max="5125" width="11.140625" style="64" customWidth="1"/>
    <col min="5126" max="5126" width="10.421875" style="64" customWidth="1"/>
    <col min="5127" max="5128" width="2.421875" style="64" customWidth="1"/>
    <col min="5129" max="5129" width="77.421875" style="64" customWidth="1"/>
    <col min="5130" max="5130" width="4.28125" style="64" customWidth="1"/>
    <col min="5131" max="5131" width="12.8515625" style="64" customWidth="1"/>
    <col min="5132" max="5132" width="12.00390625" style="64" customWidth="1"/>
    <col min="5133" max="5133" width="15.7109375" style="64" customWidth="1"/>
    <col min="5134" max="5144" width="12.140625" style="64" customWidth="1"/>
    <col min="5145" max="5194" width="12.140625" style="64" hidden="1" customWidth="1"/>
    <col min="5195" max="5376" width="12.140625" style="64" customWidth="1"/>
    <col min="5377" max="5377" width="4.00390625" style="64" customWidth="1"/>
    <col min="5378" max="5378" width="17.8515625" style="64" customWidth="1"/>
    <col min="5379" max="5379" width="47.140625" style="64" customWidth="1"/>
    <col min="5380" max="5380" width="15.7109375" style="64" customWidth="1"/>
    <col min="5381" max="5381" width="11.140625" style="64" customWidth="1"/>
    <col min="5382" max="5382" width="10.421875" style="64" customWidth="1"/>
    <col min="5383" max="5384" width="2.421875" style="64" customWidth="1"/>
    <col min="5385" max="5385" width="77.421875" style="64" customWidth="1"/>
    <col min="5386" max="5386" width="4.28125" style="64" customWidth="1"/>
    <col min="5387" max="5387" width="12.8515625" style="64" customWidth="1"/>
    <col min="5388" max="5388" width="12.00390625" style="64" customWidth="1"/>
    <col min="5389" max="5389" width="15.7109375" style="64" customWidth="1"/>
    <col min="5390" max="5400" width="12.140625" style="64" customWidth="1"/>
    <col min="5401" max="5450" width="12.140625" style="64" hidden="1" customWidth="1"/>
    <col min="5451" max="5632" width="12.140625" style="64" customWidth="1"/>
    <col min="5633" max="5633" width="4.00390625" style="64" customWidth="1"/>
    <col min="5634" max="5634" width="17.8515625" style="64" customWidth="1"/>
    <col min="5635" max="5635" width="47.140625" style="64" customWidth="1"/>
    <col min="5636" max="5636" width="15.7109375" style="64" customWidth="1"/>
    <col min="5637" max="5637" width="11.140625" style="64" customWidth="1"/>
    <col min="5638" max="5638" width="10.421875" style="64" customWidth="1"/>
    <col min="5639" max="5640" width="2.421875" style="64" customWidth="1"/>
    <col min="5641" max="5641" width="77.421875" style="64" customWidth="1"/>
    <col min="5642" max="5642" width="4.28125" style="64" customWidth="1"/>
    <col min="5643" max="5643" width="12.8515625" style="64" customWidth="1"/>
    <col min="5644" max="5644" width="12.00390625" style="64" customWidth="1"/>
    <col min="5645" max="5645" width="15.7109375" style="64" customWidth="1"/>
    <col min="5646" max="5656" width="12.140625" style="64" customWidth="1"/>
    <col min="5657" max="5706" width="12.140625" style="64" hidden="1" customWidth="1"/>
    <col min="5707" max="5888" width="12.140625" style="64" customWidth="1"/>
    <col min="5889" max="5889" width="4.00390625" style="64" customWidth="1"/>
    <col min="5890" max="5890" width="17.8515625" style="64" customWidth="1"/>
    <col min="5891" max="5891" width="47.140625" style="64" customWidth="1"/>
    <col min="5892" max="5892" width="15.7109375" style="64" customWidth="1"/>
    <col min="5893" max="5893" width="11.140625" style="64" customWidth="1"/>
    <col min="5894" max="5894" width="10.421875" style="64" customWidth="1"/>
    <col min="5895" max="5896" width="2.421875" style="64" customWidth="1"/>
    <col min="5897" max="5897" width="77.421875" style="64" customWidth="1"/>
    <col min="5898" max="5898" width="4.28125" style="64" customWidth="1"/>
    <col min="5899" max="5899" width="12.8515625" style="64" customWidth="1"/>
    <col min="5900" max="5900" width="12.00390625" style="64" customWidth="1"/>
    <col min="5901" max="5901" width="15.7109375" style="64" customWidth="1"/>
    <col min="5902" max="5912" width="12.140625" style="64" customWidth="1"/>
    <col min="5913" max="5962" width="12.140625" style="64" hidden="1" customWidth="1"/>
    <col min="5963" max="6144" width="12.140625" style="64" customWidth="1"/>
    <col min="6145" max="6145" width="4.00390625" style="64" customWidth="1"/>
    <col min="6146" max="6146" width="17.8515625" style="64" customWidth="1"/>
    <col min="6147" max="6147" width="47.140625" style="64" customWidth="1"/>
    <col min="6148" max="6148" width="15.7109375" style="64" customWidth="1"/>
    <col min="6149" max="6149" width="11.140625" style="64" customWidth="1"/>
    <col min="6150" max="6150" width="10.421875" style="64" customWidth="1"/>
    <col min="6151" max="6152" width="2.421875" style="64" customWidth="1"/>
    <col min="6153" max="6153" width="77.421875" style="64" customWidth="1"/>
    <col min="6154" max="6154" width="4.28125" style="64" customWidth="1"/>
    <col min="6155" max="6155" width="12.8515625" style="64" customWidth="1"/>
    <col min="6156" max="6156" width="12.00390625" style="64" customWidth="1"/>
    <col min="6157" max="6157" width="15.7109375" style="64" customWidth="1"/>
    <col min="6158" max="6168" width="12.140625" style="64" customWidth="1"/>
    <col min="6169" max="6218" width="12.140625" style="64" hidden="1" customWidth="1"/>
    <col min="6219" max="6400" width="12.140625" style="64" customWidth="1"/>
    <col min="6401" max="6401" width="4.00390625" style="64" customWidth="1"/>
    <col min="6402" max="6402" width="17.8515625" style="64" customWidth="1"/>
    <col min="6403" max="6403" width="47.140625" style="64" customWidth="1"/>
    <col min="6404" max="6404" width="15.7109375" style="64" customWidth="1"/>
    <col min="6405" max="6405" width="11.140625" style="64" customWidth="1"/>
    <col min="6406" max="6406" width="10.421875" style="64" customWidth="1"/>
    <col min="6407" max="6408" width="2.421875" style="64" customWidth="1"/>
    <col min="6409" max="6409" width="77.421875" style="64" customWidth="1"/>
    <col min="6410" max="6410" width="4.28125" style="64" customWidth="1"/>
    <col min="6411" max="6411" width="12.8515625" style="64" customWidth="1"/>
    <col min="6412" max="6412" width="12.00390625" style="64" customWidth="1"/>
    <col min="6413" max="6413" width="15.7109375" style="64" customWidth="1"/>
    <col min="6414" max="6424" width="12.140625" style="64" customWidth="1"/>
    <col min="6425" max="6474" width="12.140625" style="64" hidden="1" customWidth="1"/>
    <col min="6475" max="6656" width="12.140625" style="64" customWidth="1"/>
    <col min="6657" max="6657" width="4.00390625" style="64" customWidth="1"/>
    <col min="6658" max="6658" width="17.8515625" style="64" customWidth="1"/>
    <col min="6659" max="6659" width="47.140625" style="64" customWidth="1"/>
    <col min="6660" max="6660" width="15.7109375" style="64" customWidth="1"/>
    <col min="6661" max="6661" width="11.140625" style="64" customWidth="1"/>
    <col min="6662" max="6662" width="10.421875" style="64" customWidth="1"/>
    <col min="6663" max="6664" width="2.421875" style="64" customWidth="1"/>
    <col min="6665" max="6665" width="77.421875" style="64" customWidth="1"/>
    <col min="6666" max="6666" width="4.28125" style="64" customWidth="1"/>
    <col min="6667" max="6667" width="12.8515625" style="64" customWidth="1"/>
    <col min="6668" max="6668" width="12.00390625" style="64" customWidth="1"/>
    <col min="6669" max="6669" width="15.7109375" style="64" customWidth="1"/>
    <col min="6670" max="6680" width="12.140625" style="64" customWidth="1"/>
    <col min="6681" max="6730" width="12.140625" style="64" hidden="1" customWidth="1"/>
    <col min="6731" max="6912" width="12.140625" style="64" customWidth="1"/>
    <col min="6913" max="6913" width="4.00390625" style="64" customWidth="1"/>
    <col min="6914" max="6914" width="17.8515625" style="64" customWidth="1"/>
    <col min="6915" max="6915" width="47.140625" style="64" customWidth="1"/>
    <col min="6916" max="6916" width="15.7109375" style="64" customWidth="1"/>
    <col min="6917" max="6917" width="11.140625" style="64" customWidth="1"/>
    <col min="6918" max="6918" width="10.421875" style="64" customWidth="1"/>
    <col min="6919" max="6920" width="2.421875" style="64" customWidth="1"/>
    <col min="6921" max="6921" width="77.421875" style="64" customWidth="1"/>
    <col min="6922" max="6922" width="4.28125" style="64" customWidth="1"/>
    <col min="6923" max="6923" width="12.8515625" style="64" customWidth="1"/>
    <col min="6924" max="6924" width="12.00390625" style="64" customWidth="1"/>
    <col min="6925" max="6925" width="15.7109375" style="64" customWidth="1"/>
    <col min="6926" max="6936" width="12.140625" style="64" customWidth="1"/>
    <col min="6937" max="6986" width="12.140625" style="64" hidden="1" customWidth="1"/>
    <col min="6987" max="7168" width="12.140625" style="64" customWidth="1"/>
    <col min="7169" max="7169" width="4.00390625" style="64" customWidth="1"/>
    <col min="7170" max="7170" width="17.8515625" style="64" customWidth="1"/>
    <col min="7171" max="7171" width="47.140625" style="64" customWidth="1"/>
    <col min="7172" max="7172" width="15.7109375" style="64" customWidth="1"/>
    <col min="7173" max="7173" width="11.140625" style="64" customWidth="1"/>
    <col min="7174" max="7174" width="10.421875" style="64" customWidth="1"/>
    <col min="7175" max="7176" width="2.421875" style="64" customWidth="1"/>
    <col min="7177" max="7177" width="77.421875" style="64" customWidth="1"/>
    <col min="7178" max="7178" width="4.28125" style="64" customWidth="1"/>
    <col min="7179" max="7179" width="12.8515625" style="64" customWidth="1"/>
    <col min="7180" max="7180" width="12.00390625" style="64" customWidth="1"/>
    <col min="7181" max="7181" width="15.7109375" style="64" customWidth="1"/>
    <col min="7182" max="7192" width="12.140625" style="64" customWidth="1"/>
    <col min="7193" max="7242" width="12.140625" style="64" hidden="1" customWidth="1"/>
    <col min="7243" max="7424" width="12.140625" style="64" customWidth="1"/>
    <col min="7425" max="7425" width="4.00390625" style="64" customWidth="1"/>
    <col min="7426" max="7426" width="17.8515625" style="64" customWidth="1"/>
    <col min="7427" max="7427" width="47.140625" style="64" customWidth="1"/>
    <col min="7428" max="7428" width="15.7109375" style="64" customWidth="1"/>
    <col min="7429" max="7429" width="11.140625" style="64" customWidth="1"/>
    <col min="7430" max="7430" width="10.421875" style="64" customWidth="1"/>
    <col min="7431" max="7432" width="2.421875" style="64" customWidth="1"/>
    <col min="7433" max="7433" width="77.421875" style="64" customWidth="1"/>
    <col min="7434" max="7434" width="4.28125" style="64" customWidth="1"/>
    <col min="7435" max="7435" width="12.8515625" style="64" customWidth="1"/>
    <col min="7436" max="7436" width="12.00390625" style="64" customWidth="1"/>
    <col min="7437" max="7437" width="15.7109375" style="64" customWidth="1"/>
    <col min="7438" max="7448" width="12.140625" style="64" customWidth="1"/>
    <col min="7449" max="7498" width="12.140625" style="64" hidden="1" customWidth="1"/>
    <col min="7499" max="7680" width="12.140625" style="64" customWidth="1"/>
    <col min="7681" max="7681" width="4.00390625" style="64" customWidth="1"/>
    <col min="7682" max="7682" width="17.8515625" style="64" customWidth="1"/>
    <col min="7683" max="7683" width="47.140625" style="64" customWidth="1"/>
    <col min="7684" max="7684" width="15.7109375" style="64" customWidth="1"/>
    <col min="7685" max="7685" width="11.140625" style="64" customWidth="1"/>
    <col min="7686" max="7686" width="10.421875" style="64" customWidth="1"/>
    <col min="7687" max="7688" width="2.421875" style="64" customWidth="1"/>
    <col min="7689" max="7689" width="77.421875" style="64" customWidth="1"/>
    <col min="7690" max="7690" width="4.28125" style="64" customWidth="1"/>
    <col min="7691" max="7691" width="12.8515625" style="64" customWidth="1"/>
    <col min="7692" max="7692" width="12.00390625" style="64" customWidth="1"/>
    <col min="7693" max="7693" width="15.7109375" style="64" customWidth="1"/>
    <col min="7694" max="7704" width="12.140625" style="64" customWidth="1"/>
    <col min="7705" max="7754" width="12.140625" style="64" hidden="1" customWidth="1"/>
    <col min="7755" max="7936" width="12.140625" style="64" customWidth="1"/>
    <col min="7937" max="7937" width="4.00390625" style="64" customWidth="1"/>
    <col min="7938" max="7938" width="17.8515625" style="64" customWidth="1"/>
    <col min="7939" max="7939" width="47.140625" style="64" customWidth="1"/>
    <col min="7940" max="7940" width="15.7109375" style="64" customWidth="1"/>
    <col min="7941" max="7941" width="11.140625" style="64" customWidth="1"/>
    <col min="7942" max="7942" width="10.421875" style="64" customWidth="1"/>
    <col min="7943" max="7944" width="2.421875" style="64" customWidth="1"/>
    <col min="7945" max="7945" width="77.421875" style="64" customWidth="1"/>
    <col min="7946" max="7946" width="4.28125" style="64" customWidth="1"/>
    <col min="7947" max="7947" width="12.8515625" style="64" customWidth="1"/>
    <col min="7948" max="7948" width="12.00390625" style="64" customWidth="1"/>
    <col min="7949" max="7949" width="15.7109375" style="64" customWidth="1"/>
    <col min="7950" max="7960" width="12.140625" style="64" customWidth="1"/>
    <col min="7961" max="8010" width="12.140625" style="64" hidden="1" customWidth="1"/>
    <col min="8011" max="8192" width="12.140625" style="64" customWidth="1"/>
    <col min="8193" max="8193" width="4.00390625" style="64" customWidth="1"/>
    <col min="8194" max="8194" width="17.8515625" style="64" customWidth="1"/>
    <col min="8195" max="8195" width="47.140625" style="64" customWidth="1"/>
    <col min="8196" max="8196" width="15.7109375" style="64" customWidth="1"/>
    <col min="8197" max="8197" width="11.140625" style="64" customWidth="1"/>
    <col min="8198" max="8198" width="10.421875" style="64" customWidth="1"/>
    <col min="8199" max="8200" width="2.421875" style="64" customWidth="1"/>
    <col min="8201" max="8201" width="77.421875" style="64" customWidth="1"/>
    <col min="8202" max="8202" width="4.28125" style="64" customWidth="1"/>
    <col min="8203" max="8203" width="12.8515625" style="64" customWidth="1"/>
    <col min="8204" max="8204" width="12.00390625" style="64" customWidth="1"/>
    <col min="8205" max="8205" width="15.7109375" style="64" customWidth="1"/>
    <col min="8206" max="8216" width="12.140625" style="64" customWidth="1"/>
    <col min="8217" max="8266" width="12.140625" style="64" hidden="1" customWidth="1"/>
    <col min="8267" max="8448" width="12.140625" style="64" customWidth="1"/>
    <col min="8449" max="8449" width="4.00390625" style="64" customWidth="1"/>
    <col min="8450" max="8450" width="17.8515625" style="64" customWidth="1"/>
    <col min="8451" max="8451" width="47.140625" style="64" customWidth="1"/>
    <col min="8452" max="8452" width="15.7109375" style="64" customWidth="1"/>
    <col min="8453" max="8453" width="11.140625" style="64" customWidth="1"/>
    <col min="8454" max="8454" width="10.421875" style="64" customWidth="1"/>
    <col min="8455" max="8456" width="2.421875" style="64" customWidth="1"/>
    <col min="8457" max="8457" width="77.421875" style="64" customWidth="1"/>
    <col min="8458" max="8458" width="4.28125" style="64" customWidth="1"/>
    <col min="8459" max="8459" width="12.8515625" style="64" customWidth="1"/>
    <col min="8460" max="8460" width="12.00390625" style="64" customWidth="1"/>
    <col min="8461" max="8461" width="15.7109375" style="64" customWidth="1"/>
    <col min="8462" max="8472" width="12.140625" style="64" customWidth="1"/>
    <col min="8473" max="8522" width="12.140625" style="64" hidden="1" customWidth="1"/>
    <col min="8523" max="8704" width="12.140625" style="64" customWidth="1"/>
    <col min="8705" max="8705" width="4.00390625" style="64" customWidth="1"/>
    <col min="8706" max="8706" width="17.8515625" style="64" customWidth="1"/>
    <col min="8707" max="8707" width="47.140625" style="64" customWidth="1"/>
    <col min="8708" max="8708" width="15.7109375" style="64" customWidth="1"/>
    <col min="8709" max="8709" width="11.140625" style="64" customWidth="1"/>
    <col min="8710" max="8710" width="10.421875" style="64" customWidth="1"/>
    <col min="8711" max="8712" width="2.421875" style="64" customWidth="1"/>
    <col min="8713" max="8713" width="77.421875" style="64" customWidth="1"/>
    <col min="8714" max="8714" width="4.28125" style="64" customWidth="1"/>
    <col min="8715" max="8715" width="12.8515625" style="64" customWidth="1"/>
    <col min="8716" max="8716" width="12.00390625" style="64" customWidth="1"/>
    <col min="8717" max="8717" width="15.7109375" style="64" customWidth="1"/>
    <col min="8718" max="8728" width="12.140625" style="64" customWidth="1"/>
    <col min="8729" max="8778" width="12.140625" style="64" hidden="1" customWidth="1"/>
    <col min="8779" max="8960" width="12.140625" style="64" customWidth="1"/>
    <col min="8961" max="8961" width="4.00390625" style="64" customWidth="1"/>
    <col min="8962" max="8962" width="17.8515625" style="64" customWidth="1"/>
    <col min="8963" max="8963" width="47.140625" style="64" customWidth="1"/>
    <col min="8964" max="8964" width="15.7109375" style="64" customWidth="1"/>
    <col min="8965" max="8965" width="11.140625" style="64" customWidth="1"/>
    <col min="8966" max="8966" width="10.421875" style="64" customWidth="1"/>
    <col min="8967" max="8968" width="2.421875" style="64" customWidth="1"/>
    <col min="8969" max="8969" width="77.421875" style="64" customWidth="1"/>
    <col min="8970" max="8970" width="4.28125" style="64" customWidth="1"/>
    <col min="8971" max="8971" width="12.8515625" style="64" customWidth="1"/>
    <col min="8972" max="8972" width="12.00390625" style="64" customWidth="1"/>
    <col min="8973" max="8973" width="15.7109375" style="64" customWidth="1"/>
    <col min="8974" max="8984" width="12.140625" style="64" customWidth="1"/>
    <col min="8985" max="9034" width="12.140625" style="64" hidden="1" customWidth="1"/>
    <col min="9035" max="9216" width="12.140625" style="64" customWidth="1"/>
    <col min="9217" max="9217" width="4.00390625" style="64" customWidth="1"/>
    <col min="9218" max="9218" width="17.8515625" style="64" customWidth="1"/>
    <col min="9219" max="9219" width="47.140625" style="64" customWidth="1"/>
    <col min="9220" max="9220" width="15.7109375" style="64" customWidth="1"/>
    <col min="9221" max="9221" width="11.140625" style="64" customWidth="1"/>
    <col min="9222" max="9222" width="10.421875" style="64" customWidth="1"/>
    <col min="9223" max="9224" width="2.421875" style="64" customWidth="1"/>
    <col min="9225" max="9225" width="77.421875" style="64" customWidth="1"/>
    <col min="9226" max="9226" width="4.28125" style="64" customWidth="1"/>
    <col min="9227" max="9227" width="12.8515625" style="64" customWidth="1"/>
    <col min="9228" max="9228" width="12.00390625" style="64" customWidth="1"/>
    <col min="9229" max="9229" width="15.7109375" style="64" customWidth="1"/>
    <col min="9230" max="9240" width="12.140625" style="64" customWidth="1"/>
    <col min="9241" max="9290" width="12.140625" style="64" hidden="1" customWidth="1"/>
    <col min="9291" max="9472" width="12.140625" style="64" customWidth="1"/>
    <col min="9473" max="9473" width="4.00390625" style="64" customWidth="1"/>
    <col min="9474" max="9474" width="17.8515625" style="64" customWidth="1"/>
    <col min="9475" max="9475" width="47.140625" style="64" customWidth="1"/>
    <col min="9476" max="9476" width="15.7109375" style="64" customWidth="1"/>
    <col min="9477" max="9477" width="11.140625" style="64" customWidth="1"/>
    <col min="9478" max="9478" width="10.421875" style="64" customWidth="1"/>
    <col min="9479" max="9480" width="2.421875" style="64" customWidth="1"/>
    <col min="9481" max="9481" width="77.421875" style="64" customWidth="1"/>
    <col min="9482" max="9482" width="4.28125" style="64" customWidth="1"/>
    <col min="9483" max="9483" width="12.8515625" style="64" customWidth="1"/>
    <col min="9484" max="9484" width="12.00390625" style="64" customWidth="1"/>
    <col min="9485" max="9485" width="15.7109375" style="64" customWidth="1"/>
    <col min="9486" max="9496" width="12.140625" style="64" customWidth="1"/>
    <col min="9497" max="9546" width="12.140625" style="64" hidden="1" customWidth="1"/>
    <col min="9547" max="9728" width="12.140625" style="64" customWidth="1"/>
    <col min="9729" max="9729" width="4.00390625" style="64" customWidth="1"/>
    <col min="9730" max="9730" width="17.8515625" style="64" customWidth="1"/>
    <col min="9731" max="9731" width="47.140625" style="64" customWidth="1"/>
    <col min="9732" max="9732" width="15.7109375" style="64" customWidth="1"/>
    <col min="9733" max="9733" width="11.140625" style="64" customWidth="1"/>
    <col min="9734" max="9734" width="10.421875" style="64" customWidth="1"/>
    <col min="9735" max="9736" width="2.421875" style="64" customWidth="1"/>
    <col min="9737" max="9737" width="77.421875" style="64" customWidth="1"/>
    <col min="9738" max="9738" width="4.28125" style="64" customWidth="1"/>
    <col min="9739" max="9739" width="12.8515625" style="64" customWidth="1"/>
    <col min="9740" max="9740" width="12.00390625" style="64" customWidth="1"/>
    <col min="9741" max="9741" width="15.7109375" style="64" customWidth="1"/>
    <col min="9742" max="9752" width="12.140625" style="64" customWidth="1"/>
    <col min="9753" max="9802" width="12.140625" style="64" hidden="1" customWidth="1"/>
    <col min="9803" max="9984" width="12.140625" style="64" customWidth="1"/>
    <col min="9985" max="9985" width="4.00390625" style="64" customWidth="1"/>
    <col min="9986" max="9986" width="17.8515625" style="64" customWidth="1"/>
    <col min="9987" max="9987" width="47.140625" style="64" customWidth="1"/>
    <col min="9988" max="9988" width="15.7109375" style="64" customWidth="1"/>
    <col min="9989" max="9989" width="11.140625" style="64" customWidth="1"/>
    <col min="9990" max="9990" width="10.421875" style="64" customWidth="1"/>
    <col min="9991" max="9992" width="2.421875" style="64" customWidth="1"/>
    <col min="9993" max="9993" width="77.421875" style="64" customWidth="1"/>
    <col min="9994" max="9994" width="4.28125" style="64" customWidth="1"/>
    <col min="9995" max="9995" width="12.8515625" style="64" customWidth="1"/>
    <col min="9996" max="9996" width="12.00390625" style="64" customWidth="1"/>
    <col min="9997" max="9997" width="15.7109375" style="64" customWidth="1"/>
    <col min="9998" max="10008" width="12.140625" style="64" customWidth="1"/>
    <col min="10009" max="10058" width="12.140625" style="64" hidden="1" customWidth="1"/>
    <col min="10059" max="10240" width="12.140625" style="64" customWidth="1"/>
    <col min="10241" max="10241" width="4.00390625" style="64" customWidth="1"/>
    <col min="10242" max="10242" width="17.8515625" style="64" customWidth="1"/>
    <col min="10243" max="10243" width="47.140625" style="64" customWidth="1"/>
    <col min="10244" max="10244" width="15.7109375" style="64" customWidth="1"/>
    <col min="10245" max="10245" width="11.140625" style="64" customWidth="1"/>
    <col min="10246" max="10246" width="10.421875" style="64" customWidth="1"/>
    <col min="10247" max="10248" width="2.421875" style="64" customWidth="1"/>
    <col min="10249" max="10249" width="77.421875" style="64" customWidth="1"/>
    <col min="10250" max="10250" width="4.28125" style="64" customWidth="1"/>
    <col min="10251" max="10251" width="12.8515625" style="64" customWidth="1"/>
    <col min="10252" max="10252" width="12.00390625" style="64" customWidth="1"/>
    <col min="10253" max="10253" width="15.7109375" style="64" customWidth="1"/>
    <col min="10254" max="10264" width="12.140625" style="64" customWidth="1"/>
    <col min="10265" max="10314" width="12.140625" style="64" hidden="1" customWidth="1"/>
    <col min="10315" max="10496" width="12.140625" style="64" customWidth="1"/>
    <col min="10497" max="10497" width="4.00390625" style="64" customWidth="1"/>
    <col min="10498" max="10498" width="17.8515625" style="64" customWidth="1"/>
    <col min="10499" max="10499" width="47.140625" style="64" customWidth="1"/>
    <col min="10500" max="10500" width="15.7109375" style="64" customWidth="1"/>
    <col min="10501" max="10501" width="11.140625" style="64" customWidth="1"/>
    <col min="10502" max="10502" width="10.421875" style="64" customWidth="1"/>
    <col min="10503" max="10504" width="2.421875" style="64" customWidth="1"/>
    <col min="10505" max="10505" width="77.421875" style="64" customWidth="1"/>
    <col min="10506" max="10506" width="4.28125" style="64" customWidth="1"/>
    <col min="10507" max="10507" width="12.8515625" style="64" customWidth="1"/>
    <col min="10508" max="10508" width="12.00390625" style="64" customWidth="1"/>
    <col min="10509" max="10509" width="15.7109375" style="64" customWidth="1"/>
    <col min="10510" max="10520" width="12.140625" style="64" customWidth="1"/>
    <col min="10521" max="10570" width="12.140625" style="64" hidden="1" customWidth="1"/>
    <col min="10571" max="10752" width="12.140625" style="64" customWidth="1"/>
    <col min="10753" max="10753" width="4.00390625" style="64" customWidth="1"/>
    <col min="10754" max="10754" width="17.8515625" style="64" customWidth="1"/>
    <col min="10755" max="10755" width="47.140625" style="64" customWidth="1"/>
    <col min="10756" max="10756" width="15.7109375" style="64" customWidth="1"/>
    <col min="10757" max="10757" width="11.140625" style="64" customWidth="1"/>
    <col min="10758" max="10758" width="10.421875" style="64" customWidth="1"/>
    <col min="10759" max="10760" width="2.421875" style="64" customWidth="1"/>
    <col min="10761" max="10761" width="77.421875" style="64" customWidth="1"/>
    <col min="10762" max="10762" width="4.28125" style="64" customWidth="1"/>
    <col min="10763" max="10763" width="12.8515625" style="64" customWidth="1"/>
    <col min="10764" max="10764" width="12.00390625" style="64" customWidth="1"/>
    <col min="10765" max="10765" width="15.7109375" style="64" customWidth="1"/>
    <col min="10766" max="10776" width="12.140625" style="64" customWidth="1"/>
    <col min="10777" max="10826" width="12.140625" style="64" hidden="1" customWidth="1"/>
    <col min="10827" max="11008" width="12.140625" style="64" customWidth="1"/>
    <col min="11009" max="11009" width="4.00390625" style="64" customWidth="1"/>
    <col min="11010" max="11010" width="17.8515625" style="64" customWidth="1"/>
    <col min="11011" max="11011" width="47.140625" style="64" customWidth="1"/>
    <col min="11012" max="11012" width="15.7109375" style="64" customWidth="1"/>
    <col min="11013" max="11013" width="11.140625" style="64" customWidth="1"/>
    <col min="11014" max="11014" width="10.421875" style="64" customWidth="1"/>
    <col min="11015" max="11016" width="2.421875" style="64" customWidth="1"/>
    <col min="11017" max="11017" width="77.421875" style="64" customWidth="1"/>
    <col min="11018" max="11018" width="4.28125" style="64" customWidth="1"/>
    <col min="11019" max="11019" width="12.8515625" style="64" customWidth="1"/>
    <col min="11020" max="11020" width="12.00390625" style="64" customWidth="1"/>
    <col min="11021" max="11021" width="15.7109375" style="64" customWidth="1"/>
    <col min="11022" max="11032" width="12.140625" style="64" customWidth="1"/>
    <col min="11033" max="11082" width="12.140625" style="64" hidden="1" customWidth="1"/>
    <col min="11083" max="11264" width="12.140625" style="64" customWidth="1"/>
    <col min="11265" max="11265" width="4.00390625" style="64" customWidth="1"/>
    <col min="11266" max="11266" width="17.8515625" style="64" customWidth="1"/>
    <col min="11267" max="11267" width="47.140625" style="64" customWidth="1"/>
    <col min="11268" max="11268" width="15.7109375" style="64" customWidth="1"/>
    <col min="11269" max="11269" width="11.140625" style="64" customWidth="1"/>
    <col min="11270" max="11270" width="10.421875" style="64" customWidth="1"/>
    <col min="11271" max="11272" width="2.421875" style="64" customWidth="1"/>
    <col min="11273" max="11273" width="77.421875" style="64" customWidth="1"/>
    <col min="11274" max="11274" width="4.28125" style="64" customWidth="1"/>
    <col min="11275" max="11275" width="12.8515625" style="64" customWidth="1"/>
    <col min="11276" max="11276" width="12.00390625" style="64" customWidth="1"/>
    <col min="11277" max="11277" width="15.7109375" style="64" customWidth="1"/>
    <col min="11278" max="11288" width="12.140625" style="64" customWidth="1"/>
    <col min="11289" max="11338" width="12.140625" style="64" hidden="1" customWidth="1"/>
    <col min="11339" max="11520" width="12.140625" style="64" customWidth="1"/>
    <col min="11521" max="11521" width="4.00390625" style="64" customWidth="1"/>
    <col min="11522" max="11522" width="17.8515625" style="64" customWidth="1"/>
    <col min="11523" max="11523" width="47.140625" style="64" customWidth="1"/>
    <col min="11524" max="11524" width="15.7109375" style="64" customWidth="1"/>
    <col min="11525" max="11525" width="11.140625" style="64" customWidth="1"/>
    <col min="11526" max="11526" width="10.421875" style="64" customWidth="1"/>
    <col min="11527" max="11528" width="2.421875" style="64" customWidth="1"/>
    <col min="11529" max="11529" width="77.421875" style="64" customWidth="1"/>
    <col min="11530" max="11530" width="4.28125" style="64" customWidth="1"/>
    <col min="11531" max="11531" width="12.8515625" style="64" customWidth="1"/>
    <col min="11532" max="11532" width="12.00390625" style="64" customWidth="1"/>
    <col min="11533" max="11533" width="15.7109375" style="64" customWidth="1"/>
    <col min="11534" max="11544" width="12.140625" style="64" customWidth="1"/>
    <col min="11545" max="11594" width="12.140625" style="64" hidden="1" customWidth="1"/>
    <col min="11595" max="11776" width="12.140625" style="64" customWidth="1"/>
    <col min="11777" max="11777" width="4.00390625" style="64" customWidth="1"/>
    <col min="11778" max="11778" width="17.8515625" style="64" customWidth="1"/>
    <col min="11779" max="11779" width="47.140625" style="64" customWidth="1"/>
    <col min="11780" max="11780" width="15.7109375" style="64" customWidth="1"/>
    <col min="11781" max="11781" width="11.140625" style="64" customWidth="1"/>
    <col min="11782" max="11782" width="10.421875" style="64" customWidth="1"/>
    <col min="11783" max="11784" width="2.421875" style="64" customWidth="1"/>
    <col min="11785" max="11785" width="77.421875" style="64" customWidth="1"/>
    <col min="11786" max="11786" width="4.28125" style="64" customWidth="1"/>
    <col min="11787" max="11787" width="12.8515625" style="64" customWidth="1"/>
    <col min="11788" max="11788" width="12.00390625" style="64" customWidth="1"/>
    <col min="11789" max="11789" width="15.7109375" style="64" customWidth="1"/>
    <col min="11790" max="11800" width="12.140625" style="64" customWidth="1"/>
    <col min="11801" max="11850" width="12.140625" style="64" hidden="1" customWidth="1"/>
    <col min="11851" max="12032" width="12.140625" style="64" customWidth="1"/>
    <col min="12033" max="12033" width="4.00390625" style="64" customWidth="1"/>
    <col min="12034" max="12034" width="17.8515625" style="64" customWidth="1"/>
    <col min="12035" max="12035" width="47.140625" style="64" customWidth="1"/>
    <col min="12036" max="12036" width="15.7109375" style="64" customWidth="1"/>
    <col min="12037" max="12037" width="11.140625" style="64" customWidth="1"/>
    <col min="12038" max="12038" width="10.421875" style="64" customWidth="1"/>
    <col min="12039" max="12040" width="2.421875" style="64" customWidth="1"/>
    <col min="12041" max="12041" width="77.421875" style="64" customWidth="1"/>
    <col min="12042" max="12042" width="4.28125" style="64" customWidth="1"/>
    <col min="12043" max="12043" width="12.8515625" style="64" customWidth="1"/>
    <col min="12044" max="12044" width="12.00390625" style="64" customWidth="1"/>
    <col min="12045" max="12045" width="15.7109375" style="64" customWidth="1"/>
    <col min="12046" max="12056" width="12.140625" style="64" customWidth="1"/>
    <col min="12057" max="12106" width="12.140625" style="64" hidden="1" customWidth="1"/>
    <col min="12107" max="12288" width="12.140625" style="64" customWidth="1"/>
    <col min="12289" max="12289" width="4.00390625" style="64" customWidth="1"/>
    <col min="12290" max="12290" width="17.8515625" style="64" customWidth="1"/>
    <col min="12291" max="12291" width="47.140625" style="64" customWidth="1"/>
    <col min="12292" max="12292" width="15.7109375" style="64" customWidth="1"/>
    <col min="12293" max="12293" width="11.140625" style="64" customWidth="1"/>
    <col min="12294" max="12294" width="10.421875" style="64" customWidth="1"/>
    <col min="12295" max="12296" width="2.421875" style="64" customWidth="1"/>
    <col min="12297" max="12297" width="77.421875" style="64" customWidth="1"/>
    <col min="12298" max="12298" width="4.28125" style="64" customWidth="1"/>
    <col min="12299" max="12299" width="12.8515625" style="64" customWidth="1"/>
    <col min="12300" max="12300" width="12.00390625" style="64" customWidth="1"/>
    <col min="12301" max="12301" width="15.7109375" style="64" customWidth="1"/>
    <col min="12302" max="12312" width="12.140625" style="64" customWidth="1"/>
    <col min="12313" max="12362" width="12.140625" style="64" hidden="1" customWidth="1"/>
    <col min="12363" max="12544" width="12.140625" style="64" customWidth="1"/>
    <col min="12545" max="12545" width="4.00390625" style="64" customWidth="1"/>
    <col min="12546" max="12546" width="17.8515625" style="64" customWidth="1"/>
    <col min="12547" max="12547" width="47.140625" style="64" customWidth="1"/>
    <col min="12548" max="12548" width="15.7109375" style="64" customWidth="1"/>
    <col min="12549" max="12549" width="11.140625" style="64" customWidth="1"/>
    <col min="12550" max="12550" width="10.421875" style="64" customWidth="1"/>
    <col min="12551" max="12552" width="2.421875" style="64" customWidth="1"/>
    <col min="12553" max="12553" width="77.421875" style="64" customWidth="1"/>
    <col min="12554" max="12554" width="4.28125" style="64" customWidth="1"/>
    <col min="12555" max="12555" width="12.8515625" style="64" customWidth="1"/>
    <col min="12556" max="12556" width="12.00390625" style="64" customWidth="1"/>
    <col min="12557" max="12557" width="15.7109375" style="64" customWidth="1"/>
    <col min="12558" max="12568" width="12.140625" style="64" customWidth="1"/>
    <col min="12569" max="12618" width="12.140625" style="64" hidden="1" customWidth="1"/>
    <col min="12619" max="12800" width="12.140625" style="64" customWidth="1"/>
    <col min="12801" max="12801" width="4.00390625" style="64" customWidth="1"/>
    <col min="12802" max="12802" width="17.8515625" style="64" customWidth="1"/>
    <col min="12803" max="12803" width="47.140625" style="64" customWidth="1"/>
    <col min="12804" max="12804" width="15.7109375" style="64" customWidth="1"/>
    <col min="12805" max="12805" width="11.140625" style="64" customWidth="1"/>
    <col min="12806" max="12806" width="10.421875" style="64" customWidth="1"/>
    <col min="12807" max="12808" width="2.421875" style="64" customWidth="1"/>
    <col min="12809" max="12809" width="77.421875" style="64" customWidth="1"/>
    <col min="12810" max="12810" width="4.28125" style="64" customWidth="1"/>
    <col min="12811" max="12811" width="12.8515625" style="64" customWidth="1"/>
    <col min="12812" max="12812" width="12.00390625" style="64" customWidth="1"/>
    <col min="12813" max="12813" width="15.7109375" style="64" customWidth="1"/>
    <col min="12814" max="12824" width="12.140625" style="64" customWidth="1"/>
    <col min="12825" max="12874" width="12.140625" style="64" hidden="1" customWidth="1"/>
    <col min="12875" max="13056" width="12.140625" style="64" customWidth="1"/>
    <col min="13057" max="13057" width="4.00390625" style="64" customWidth="1"/>
    <col min="13058" max="13058" width="17.8515625" style="64" customWidth="1"/>
    <col min="13059" max="13059" width="47.140625" style="64" customWidth="1"/>
    <col min="13060" max="13060" width="15.7109375" style="64" customWidth="1"/>
    <col min="13061" max="13061" width="11.140625" style="64" customWidth="1"/>
    <col min="13062" max="13062" width="10.421875" style="64" customWidth="1"/>
    <col min="13063" max="13064" width="2.421875" style="64" customWidth="1"/>
    <col min="13065" max="13065" width="77.421875" style="64" customWidth="1"/>
    <col min="13066" max="13066" width="4.28125" style="64" customWidth="1"/>
    <col min="13067" max="13067" width="12.8515625" style="64" customWidth="1"/>
    <col min="13068" max="13068" width="12.00390625" style="64" customWidth="1"/>
    <col min="13069" max="13069" width="15.7109375" style="64" customWidth="1"/>
    <col min="13070" max="13080" width="12.140625" style="64" customWidth="1"/>
    <col min="13081" max="13130" width="12.140625" style="64" hidden="1" customWidth="1"/>
    <col min="13131" max="13312" width="12.140625" style="64" customWidth="1"/>
    <col min="13313" max="13313" width="4.00390625" style="64" customWidth="1"/>
    <col min="13314" max="13314" width="17.8515625" style="64" customWidth="1"/>
    <col min="13315" max="13315" width="47.140625" style="64" customWidth="1"/>
    <col min="13316" max="13316" width="15.7109375" style="64" customWidth="1"/>
    <col min="13317" max="13317" width="11.140625" style="64" customWidth="1"/>
    <col min="13318" max="13318" width="10.421875" style="64" customWidth="1"/>
    <col min="13319" max="13320" width="2.421875" style="64" customWidth="1"/>
    <col min="13321" max="13321" width="77.421875" style="64" customWidth="1"/>
    <col min="13322" max="13322" width="4.28125" style="64" customWidth="1"/>
    <col min="13323" max="13323" width="12.8515625" style="64" customWidth="1"/>
    <col min="13324" max="13324" width="12.00390625" style="64" customWidth="1"/>
    <col min="13325" max="13325" width="15.7109375" style="64" customWidth="1"/>
    <col min="13326" max="13336" width="12.140625" style="64" customWidth="1"/>
    <col min="13337" max="13386" width="12.140625" style="64" hidden="1" customWidth="1"/>
    <col min="13387" max="13568" width="12.140625" style="64" customWidth="1"/>
    <col min="13569" max="13569" width="4.00390625" style="64" customWidth="1"/>
    <col min="13570" max="13570" width="17.8515625" style="64" customWidth="1"/>
    <col min="13571" max="13571" width="47.140625" style="64" customWidth="1"/>
    <col min="13572" max="13572" width="15.7109375" style="64" customWidth="1"/>
    <col min="13573" max="13573" width="11.140625" style="64" customWidth="1"/>
    <col min="13574" max="13574" width="10.421875" style="64" customWidth="1"/>
    <col min="13575" max="13576" width="2.421875" style="64" customWidth="1"/>
    <col min="13577" max="13577" width="77.421875" style="64" customWidth="1"/>
    <col min="13578" max="13578" width="4.28125" style="64" customWidth="1"/>
    <col min="13579" max="13579" width="12.8515625" style="64" customWidth="1"/>
    <col min="13580" max="13580" width="12.00390625" style="64" customWidth="1"/>
    <col min="13581" max="13581" width="15.7109375" style="64" customWidth="1"/>
    <col min="13582" max="13592" width="12.140625" style="64" customWidth="1"/>
    <col min="13593" max="13642" width="12.140625" style="64" hidden="1" customWidth="1"/>
    <col min="13643" max="13824" width="12.140625" style="64" customWidth="1"/>
    <col min="13825" max="13825" width="4.00390625" style="64" customWidth="1"/>
    <col min="13826" max="13826" width="17.8515625" style="64" customWidth="1"/>
    <col min="13827" max="13827" width="47.140625" style="64" customWidth="1"/>
    <col min="13828" max="13828" width="15.7109375" style="64" customWidth="1"/>
    <col min="13829" max="13829" width="11.140625" style="64" customWidth="1"/>
    <col min="13830" max="13830" width="10.421875" style="64" customWidth="1"/>
    <col min="13831" max="13832" width="2.421875" style="64" customWidth="1"/>
    <col min="13833" max="13833" width="77.421875" style="64" customWidth="1"/>
    <col min="13834" max="13834" width="4.28125" style="64" customWidth="1"/>
    <col min="13835" max="13835" width="12.8515625" style="64" customWidth="1"/>
    <col min="13836" max="13836" width="12.00390625" style="64" customWidth="1"/>
    <col min="13837" max="13837" width="15.7109375" style="64" customWidth="1"/>
    <col min="13838" max="13848" width="12.140625" style="64" customWidth="1"/>
    <col min="13849" max="13898" width="12.140625" style="64" hidden="1" customWidth="1"/>
    <col min="13899" max="14080" width="12.140625" style="64" customWidth="1"/>
    <col min="14081" max="14081" width="4.00390625" style="64" customWidth="1"/>
    <col min="14082" max="14082" width="17.8515625" style="64" customWidth="1"/>
    <col min="14083" max="14083" width="47.140625" style="64" customWidth="1"/>
    <col min="14084" max="14084" width="15.7109375" style="64" customWidth="1"/>
    <col min="14085" max="14085" width="11.140625" style="64" customWidth="1"/>
    <col min="14086" max="14086" width="10.421875" style="64" customWidth="1"/>
    <col min="14087" max="14088" width="2.421875" style="64" customWidth="1"/>
    <col min="14089" max="14089" width="77.421875" style="64" customWidth="1"/>
    <col min="14090" max="14090" width="4.28125" style="64" customWidth="1"/>
    <col min="14091" max="14091" width="12.8515625" style="64" customWidth="1"/>
    <col min="14092" max="14092" width="12.00390625" style="64" customWidth="1"/>
    <col min="14093" max="14093" width="15.7109375" style="64" customWidth="1"/>
    <col min="14094" max="14104" width="12.140625" style="64" customWidth="1"/>
    <col min="14105" max="14154" width="12.140625" style="64" hidden="1" customWidth="1"/>
    <col min="14155" max="14336" width="12.140625" style="64" customWidth="1"/>
    <col min="14337" max="14337" width="4.00390625" style="64" customWidth="1"/>
    <col min="14338" max="14338" width="17.8515625" style="64" customWidth="1"/>
    <col min="14339" max="14339" width="47.140625" style="64" customWidth="1"/>
    <col min="14340" max="14340" width="15.7109375" style="64" customWidth="1"/>
    <col min="14341" max="14341" width="11.140625" style="64" customWidth="1"/>
    <col min="14342" max="14342" width="10.421875" style="64" customWidth="1"/>
    <col min="14343" max="14344" width="2.421875" style="64" customWidth="1"/>
    <col min="14345" max="14345" width="77.421875" style="64" customWidth="1"/>
    <col min="14346" max="14346" width="4.28125" style="64" customWidth="1"/>
    <col min="14347" max="14347" width="12.8515625" style="64" customWidth="1"/>
    <col min="14348" max="14348" width="12.00390625" style="64" customWidth="1"/>
    <col min="14349" max="14349" width="15.7109375" style="64" customWidth="1"/>
    <col min="14350" max="14360" width="12.140625" style="64" customWidth="1"/>
    <col min="14361" max="14410" width="12.140625" style="64" hidden="1" customWidth="1"/>
    <col min="14411" max="14592" width="12.140625" style="64" customWidth="1"/>
    <col min="14593" max="14593" width="4.00390625" style="64" customWidth="1"/>
    <col min="14594" max="14594" width="17.8515625" style="64" customWidth="1"/>
    <col min="14595" max="14595" width="47.140625" style="64" customWidth="1"/>
    <col min="14596" max="14596" width="15.7109375" style="64" customWidth="1"/>
    <col min="14597" max="14597" width="11.140625" style="64" customWidth="1"/>
    <col min="14598" max="14598" width="10.421875" style="64" customWidth="1"/>
    <col min="14599" max="14600" width="2.421875" style="64" customWidth="1"/>
    <col min="14601" max="14601" width="77.421875" style="64" customWidth="1"/>
    <col min="14602" max="14602" width="4.28125" style="64" customWidth="1"/>
    <col min="14603" max="14603" width="12.8515625" style="64" customWidth="1"/>
    <col min="14604" max="14604" width="12.00390625" style="64" customWidth="1"/>
    <col min="14605" max="14605" width="15.7109375" style="64" customWidth="1"/>
    <col min="14606" max="14616" width="12.140625" style="64" customWidth="1"/>
    <col min="14617" max="14666" width="12.140625" style="64" hidden="1" customWidth="1"/>
    <col min="14667" max="14848" width="12.140625" style="64" customWidth="1"/>
    <col min="14849" max="14849" width="4.00390625" style="64" customWidth="1"/>
    <col min="14850" max="14850" width="17.8515625" style="64" customWidth="1"/>
    <col min="14851" max="14851" width="47.140625" style="64" customWidth="1"/>
    <col min="14852" max="14852" width="15.7109375" style="64" customWidth="1"/>
    <col min="14853" max="14853" width="11.140625" style="64" customWidth="1"/>
    <col min="14854" max="14854" width="10.421875" style="64" customWidth="1"/>
    <col min="14855" max="14856" width="2.421875" style="64" customWidth="1"/>
    <col min="14857" max="14857" width="77.421875" style="64" customWidth="1"/>
    <col min="14858" max="14858" width="4.28125" style="64" customWidth="1"/>
    <col min="14859" max="14859" width="12.8515625" style="64" customWidth="1"/>
    <col min="14860" max="14860" width="12.00390625" style="64" customWidth="1"/>
    <col min="14861" max="14861" width="15.7109375" style="64" customWidth="1"/>
    <col min="14862" max="14872" width="12.140625" style="64" customWidth="1"/>
    <col min="14873" max="14922" width="12.140625" style="64" hidden="1" customWidth="1"/>
    <col min="14923" max="15104" width="12.140625" style="64" customWidth="1"/>
    <col min="15105" max="15105" width="4.00390625" style="64" customWidth="1"/>
    <col min="15106" max="15106" width="17.8515625" style="64" customWidth="1"/>
    <col min="15107" max="15107" width="47.140625" style="64" customWidth="1"/>
    <col min="15108" max="15108" width="15.7109375" style="64" customWidth="1"/>
    <col min="15109" max="15109" width="11.140625" style="64" customWidth="1"/>
    <col min="15110" max="15110" width="10.421875" style="64" customWidth="1"/>
    <col min="15111" max="15112" width="2.421875" style="64" customWidth="1"/>
    <col min="15113" max="15113" width="77.421875" style="64" customWidth="1"/>
    <col min="15114" max="15114" width="4.28125" style="64" customWidth="1"/>
    <col min="15115" max="15115" width="12.8515625" style="64" customWidth="1"/>
    <col min="15116" max="15116" width="12.00390625" style="64" customWidth="1"/>
    <col min="15117" max="15117" width="15.7109375" style="64" customWidth="1"/>
    <col min="15118" max="15128" width="12.140625" style="64" customWidth="1"/>
    <col min="15129" max="15178" width="12.140625" style="64" hidden="1" customWidth="1"/>
    <col min="15179" max="15360" width="12.140625" style="64" customWidth="1"/>
    <col min="15361" max="15361" width="4.00390625" style="64" customWidth="1"/>
    <col min="15362" max="15362" width="17.8515625" style="64" customWidth="1"/>
    <col min="15363" max="15363" width="47.140625" style="64" customWidth="1"/>
    <col min="15364" max="15364" width="15.7109375" style="64" customWidth="1"/>
    <col min="15365" max="15365" width="11.140625" style="64" customWidth="1"/>
    <col min="15366" max="15366" width="10.421875" style="64" customWidth="1"/>
    <col min="15367" max="15368" width="2.421875" style="64" customWidth="1"/>
    <col min="15369" max="15369" width="77.421875" style="64" customWidth="1"/>
    <col min="15370" max="15370" width="4.28125" style="64" customWidth="1"/>
    <col min="15371" max="15371" width="12.8515625" style="64" customWidth="1"/>
    <col min="15372" max="15372" width="12.00390625" style="64" customWidth="1"/>
    <col min="15373" max="15373" width="15.7109375" style="64" customWidth="1"/>
    <col min="15374" max="15384" width="12.140625" style="64" customWidth="1"/>
    <col min="15385" max="15434" width="12.140625" style="64" hidden="1" customWidth="1"/>
    <col min="15435" max="15616" width="12.140625" style="64" customWidth="1"/>
    <col min="15617" max="15617" width="4.00390625" style="64" customWidth="1"/>
    <col min="15618" max="15618" width="17.8515625" style="64" customWidth="1"/>
    <col min="15619" max="15619" width="47.140625" style="64" customWidth="1"/>
    <col min="15620" max="15620" width="15.7109375" style="64" customWidth="1"/>
    <col min="15621" max="15621" width="11.140625" style="64" customWidth="1"/>
    <col min="15622" max="15622" width="10.421875" style="64" customWidth="1"/>
    <col min="15623" max="15624" width="2.421875" style="64" customWidth="1"/>
    <col min="15625" max="15625" width="77.421875" style="64" customWidth="1"/>
    <col min="15626" max="15626" width="4.28125" style="64" customWidth="1"/>
    <col min="15627" max="15627" width="12.8515625" style="64" customWidth="1"/>
    <col min="15628" max="15628" width="12.00390625" style="64" customWidth="1"/>
    <col min="15629" max="15629" width="15.7109375" style="64" customWidth="1"/>
    <col min="15630" max="15640" width="12.140625" style="64" customWidth="1"/>
    <col min="15641" max="15690" width="12.140625" style="64" hidden="1" customWidth="1"/>
    <col min="15691" max="15872" width="12.140625" style="64" customWidth="1"/>
    <col min="15873" max="15873" width="4.00390625" style="64" customWidth="1"/>
    <col min="15874" max="15874" width="17.8515625" style="64" customWidth="1"/>
    <col min="15875" max="15875" width="47.140625" style="64" customWidth="1"/>
    <col min="15876" max="15876" width="15.7109375" style="64" customWidth="1"/>
    <col min="15877" max="15877" width="11.140625" style="64" customWidth="1"/>
    <col min="15878" max="15878" width="10.421875" style="64" customWidth="1"/>
    <col min="15879" max="15880" width="2.421875" style="64" customWidth="1"/>
    <col min="15881" max="15881" width="77.421875" style="64" customWidth="1"/>
    <col min="15882" max="15882" width="4.28125" style="64" customWidth="1"/>
    <col min="15883" max="15883" width="12.8515625" style="64" customWidth="1"/>
    <col min="15884" max="15884" width="12.00390625" style="64" customWidth="1"/>
    <col min="15885" max="15885" width="15.7109375" style="64" customWidth="1"/>
    <col min="15886" max="15896" width="12.140625" style="64" customWidth="1"/>
    <col min="15897" max="15946" width="12.140625" style="64" hidden="1" customWidth="1"/>
    <col min="15947" max="16128" width="12.140625" style="64" customWidth="1"/>
    <col min="16129" max="16129" width="4.00390625" style="64" customWidth="1"/>
    <col min="16130" max="16130" width="17.8515625" style="64" customWidth="1"/>
    <col min="16131" max="16131" width="47.140625" style="64" customWidth="1"/>
    <col min="16132" max="16132" width="15.7109375" style="64" customWidth="1"/>
    <col min="16133" max="16133" width="11.140625" style="64" customWidth="1"/>
    <col min="16134" max="16134" width="10.421875" style="64" customWidth="1"/>
    <col min="16135" max="16136" width="2.421875" style="64" customWidth="1"/>
    <col min="16137" max="16137" width="77.421875" style="64" customWidth="1"/>
    <col min="16138" max="16138" width="4.28125" style="64" customWidth="1"/>
    <col min="16139" max="16139" width="12.8515625" style="64" customWidth="1"/>
    <col min="16140" max="16140" width="12.00390625" style="64" customWidth="1"/>
    <col min="16141" max="16141" width="15.7109375" style="64" customWidth="1"/>
    <col min="16142" max="16152" width="12.140625" style="64" customWidth="1"/>
    <col min="16153" max="16202" width="12.140625" style="64" hidden="1" customWidth="1"/>
    <col min="16203" max="16384" width="12.140625" style="64" customWidth="1"/>
  </cols>
  <sheetData>
    <row r="1" spans="1:13" ht="54.75" customHeight="1">
      <c r="A1" s="154" t="str">
        <f>C4</f>
        <v>SO 101 – Komunikace a zpevněné plochy  ul. Hasskova a Martinské nám.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" customHeight="1">
      <c r="A2" s="155" t="s">
        <v>0</v>
      </c>
      <c r="B2" s="156"/>
      <c r="C2" s="157" t="s">
        <v>1</v>
      </c>
      <c r="D2" s="156" t="s">
        <v>2</v>
      </c>
      <c r="E2" s="156" t="s">
        <v>3</v>
      </c>
      <c r="F2" s="159" t="s">
        <v>4</v>
      </c>
      <c r="G2" s="159" t="s">
        <v>5</v>
      </c>
      <c r="H2" s="156"/>
      <c r="I2" s="156"/>
      <c r="J2" s="156"/>
      <c r="K2" s="156"/>
      <c r="L2" s="156"/>
      <c r="M2" s="160"/>
    </row>
    <row r="3" spans="1:13" ht="15" customHeight="1">
      <c r="A3" s="151"/>
      <c r="B3" s="150"/>
      <c r="C3" s="158"/>
      <c r="D3" s="150"/>
      <c r="E3" s="150"/>
      <c r="F3" s="150"/>
      <c r="G3" s="150"/>
      <c r="H3" s="150"/>
      <c r="I3" s="150"/>
      <c r="J3" s="150"/>
      <c r="K3" s="150"/>
      <c r="L3" s="150"/>
      <c r="M3" s="153"/>
    </row>
    <row r="4" spans="1:13" ht="15" customHeight="1">
      <c r="A4" s="149" t="s">
        <v>6</v>
      </c>
      <c r="B4" s="150"/>
      <c r="C4" s="152" t="s">
        <v>7</v>
      </c>
      <c r="D4" s="150" t="s">
        <v>8</v>
      </c>
      <c r="E4" s="150"/>
      <c r="F4" s="152" t="s">
        <v>9</v>
      </c>
      <c r="G4" s="152" t="s">
        <v>10</v>
      </c>
      <c r="H4" s="150"/>
      <c r="I4" s="150"/>
      <c r="J4" s="150"/>
      <c r="K4" s="150"/>
      <c r="L4" s="150"/>
      <c r="M4" s="153"/>
    </row>
    <row r="5" spans="1:13" ht="15" customHeight="1">
      <c r="A5" s="151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3"/>
    </row>
    <row r="6" spans="1:13" ht="15" customHeight="1">
      <c r="A6" s="149" t="s">
        <v>11</v>
      </c>
      <c r="B6" s="150"/>
      <c r="C6" s="152" t="s">
        <v>12</v>
      </c>
      <c r="D6" s="150" t="s">
        <v>13</v>
      </c>
      <c r="E6" s="150" t="s">
        <v>3</v>
      </c>
      <c r="F6" s="152" t="s">
        <v>14</v>
      </c>
      <c r="G6" s="150" t="s">
        <v>15</v>
      </c>
      <c r="H6" s="150"/>
      <c r="I6" s="150"/>
      <c r="J6" s="150"/>
      <c r="K6" s="150"/>
      <c r="L6" s="150"/>
      <c r="M6" s="153"/>
    </row>
    <row r="7" spans="1:13" ht="15" customHeight="1">
      <c r="A7" s="151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3"/>
    </row>
    <row r="8" spans="1:13" ht="15" customHeight="1">
      <c r="A8" s="149" t="s">
        <v>16</v>
      </c>
      <c r="B8" s="150"/>
      <c r="C8" s="152" t="s">
        <v>3</v>
      </c>
      <c r="D8" s="150" t="s">
        <v>17</v>
      </c>
      <c r="E8" s="150" t="s">
        <v>1291</v>
      </c>
      <c r="F8" s="152" t="s">
        <v>19</v>
      </c>
      <c r="G8" s="152" t="s">
        <v>20</v>
      </c>
      <c r="H8" s="150"/>
      <c r="I8" s="150"/>
      <c r="J8" s="150"/>
      <c r="K8" s="150"/>
      <c r="L8" s="150"/>
      <c r="M8" s="153"/>
    </row>
    <row r="9" spans="1:13" ht="15" customHeight="1" thickBot="1">
      <c r="A9" s="151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3"/>
    </row>
    <row r="10" spans="1:64" ht="15" customHeight="1">
      <c r="A10" s="67" t="s">
        <v>21</v>
      </c>
      <c r="B10" s="68" t="s">
        <v>22</v>
      </c>
      <c r="C10" s="164" t="s">
        <v>23</v>
      </c>
      <c r="D10" s="164"/>
      <c r="E10" s="164"/>
      <c r="F10" s="164"/>
      <c r="G10" s="164"/>
      <c r="H10" s="164"/>
      <c r="I10" s="165"/>
      <c r="J10" s="68" t="s">
        <v>24</v>
      </c>
      <c r="K10" s="69" t="s">
        <v>25</v>
      </c>
      <c r="L10" s="70" t="s">
        <v>26</v>
      </c>
      <c r="M10" s="71" t="s">
        <v>27</v>
      </c>
      <c r="BK10" s="72" t="s">
        <v>29</v>
      </c>
      <c r="BL10" s="73" t="s">
        <v>30</v>
      </c>
    </row>
    <row r="11" spans="1:62" ht="15" customHeight="1" thickBot="1">
      <c r="A11" s="74" t="s">
        <v>3</v>
      </c>
      <c r="B11" s="75" t="s">
        <v>3</v>
      </c>
      <c r="C11" s="166" t="s">
        <v>31</v>
      </c>
      <c r="D11" s="166"/>
      <c r="E11" s="166"/>
      <c r="F11" s="166"/>
      <c r="G11" s="166"/>
      <c r="H11" s="166"/>
      <c r="I11" s="167"/>
      <c r="J11" s="75" t="s">
        <v>3</v>
      </c>
      <c r="K11" s="75" t="s">
        <v>3</v>
      </c>
      <c r="L11" s="76" t="s">
        <v>32</v>
      </c>
      <c r="M11" s="77" t="s">
        <v>35</v>
      </c>
      <c r="Z11" s="72" t="s">
        <v>37</v>
      </c>
      <c r="AA11" s="72" t="s">
        <v>38</v>
      </c>
      <c r="AB11" s="72" t="s">
        <v>39</v>
      </c>
      <c r="AC11" s="72" t="s">
        <v>40</v>
      </c>
      <c r="AD11" s="72" t="s">
        <v>41</v>
      </c>
      <c r="AE11" s="72" t="s">
        <v>42</v>
      </c>
      <c r="AF11" s="72" t="s">
        <v>43</v>
      </c>
      <c r="AG11" s="72" t="s">
        <v>44</v>
      </c>
      <c r="AH11" s="72" t="s">
        <v>45</v>
      </c>
      <c r="BH11" s="72" t="s">
        <v>46</v>
      </c>
      <c r="BI11" s="72" t="s">
        <v>47</v>
      </c>
      <c r="BJ11" s="72" t="s">
        <v>48</v>
      </c>
    </row>
    <row r="12" spans="1:47" ht="15" customHeight="1">
      <c r="A12" s="78" t="s">
        <v>49</v>
      </c>
      <c r="B12" s="79" t="s">
        <v>50</v>
      </c>
      <c r="C12" s="168" t="s">
        <v>51</v>
      </c>
      <c r="D12" s="168"/>
      <c r="E12" s="168"/>
      <c r="F12" s="168"/>
      <c r="G12" s="168"/>
      <c r="H12" s="168"/>
      <c r="I12" s="168"/>
      <c r="J12" s="80" t="s">
        <v>3</v>
      </c>
      <c r="K12" s="80" t="s">
        <v>3</v>
      </c>
      <c r="L12" s="80" t="s">
        <v>3</v>
      </c>
      <c r="M12" s="81">
        <f>SUM(M13:M108)</f>
        <v>0</v>
      </c>
      <c r="AI12" s="72" t="s">
        <v>49</v>
      </c>
      <c r="AS12" s="82">
        <f>SUM(AJ13:AJ108)</f>
        <v>0</v>
      </c>
      <c r="AT12" s="82">
        <f>SUM(AK13:AK108)</f>
        <v>0</v>
      </c>
      <c r="AU12" s="82">
        <f>SUM(AL13:AL108)</f>
        <v>0</v>
      </c>
    </row>
    <row r="13" spans="1:64" ht="15" customHeight="1">
      <c r="A13" s="65" t="s">
        <v>52</v>
      </c>
      <c r="B13" s="66" t="s">
        <v>53</v>
      </c>
      <c r="C13" s="150" t="s">
        <v>54</v>
      </c>
      <c r="D13" s="150"/>
      <c r="E13" s="150"/>
      <c r="F13" s="150"/>
      <c r="G13" s="150"/>
      <c r="H13" s="150"/>
      <c r="I13" s="150"/>
      <c r="J13" s="66" t="s">
        <v>55</v>
      </c>
      <c r="K13" s="83">
        <v>6</v>
      </c>
      <c r="L13" s="108"/>
      <c r="M13" s="84">
        <f>K13*L13</f>
        <v>0</v>
      </c>
      <c r="Z13" s="83">
        <f>IF(AQ13="5",BJ13,0)</f>
        <v>0</v>
      </c>
      <c r="AB13" s="83">
        <f>IF(AQ13="1",BH13,0)</f>
        <v>0</v>
      </c>
      <c r="AC13" s="83">
        <f>IF(AQ13="1",BI13,0)</f>
        <v>0</v>
      </c>
      <c r="AD13" s="83">
        <f>IF(AQ13="7",BH13,0)</f>
        <v>0</v>
      </c>
      <c r="AE13" s="83">
        <f>IF(AQ13="7",BI13,0)</f>
        <v>0</v>
      </c>
      <c r="AF13" s="83">
        <f>IF(AQ13="2",BH13,0)</f>
        <v>0</v>
      </c>
      <c r="AG13" s="83">
        <f>IF(AQ13="2",BI13,0)</f>
        <v>0</v>
      </c>
      <c r="AH13" s="83">
        <f>IF(AQ13="0",BJ13,0)</f>
        <v>0</v>
      </c>
      <c r="AI13" s="72" t="s">
        <v>49</v>
      </c>
      <c r="AJ13" s="83">
        <f>IF(AN13=0,M13,0)</f>
        <v>0</v>
      </c>
      <c r="AK13" s="83">
        <f>IF(AN13=15,M13,0)</f>
        <v>0</v>
      </c>
      <c r="AL13" s="83">
        <f>IF(AN13=21,M13,0)</f>
        <v>0</v>
      </c>
      <c r="AN13" s="83">
        <v>21</v>
      </c>
      <c r="AO13" s="83">
        <f>L13*0</f>
        <v>0</v>
      </c>
      <c r="AP13" s="83">
        <f>L13*(1-0)</f>
        <v>0</v>
      </c>
      <c r="AQ13" s="85" t="s">
        <v>52</v>
      </c>
      <c r="AV13" s="83">
        <f>AW13+AX13</f>
        <v>0</v>
      </c>
      <c r="AW13" s="83">
        <f>K13*AO13</f>
        <v>0</v>
      </c>
      <c r="AX13" s="83">
        <f>K13*AP13</f>
        <v>0</v>
      </c>
      <c r="AY13" s="85" t="s">
        <v>56</v>
      </c>
      <c r="AZ13" s="85" t="s">
        <v>57</v>
      </c>
      <c r="BA13" s="72" t="s">
        <v>58</v>
      </c>
      <c r="BC13" s="83">
        <f>AW13+AX13</f>
        <v>0</v>
      </c>
      <c r="BD13" s="83">
        <f>L13/(100-BE13)*100</f>
        <v>0</v>
      </c>
      <c r="BE13" s="83">
        <v>0</v>
      </c>
      <c r="BF13" s="83">
        <f>13</f>
        <v>13</v>
      </c>
      <c r="BH13" s="83">
        <f>K13*AO13</f>
        <v>0</v>
      </c>
      <c r="BI13" s="83">
        <f>K13*AP13</f>
        <v>0</v>
      </c>
      <c r="BJ13" s="83">
        <f>K13*L13</f>
        <v>0</v>
      </c>
      <c r="BK13" s="83"/>
      <c r="BL13" s="83">
        <v>11</v>
      </c>
    </row>
    <row r="14" spans="1:13" ht="15" customHeight="1">
      <c r="A14" s="86"/>
      <c r="C14" s="87" t="s">
        <v>59</v>
      </c>
      <c r="I14" s="87" t="s">
        <v>49</v>
      </c>
      <c r="K14" s="88">
        <v>6.000000000000001</v>
      </c>
      <c r="M14" s="89"/>
    </row>
    <row r="15" spans="1:13" ht="27" customHeight="1">
      <c r="A15" s="86"/>
      <c r="B15" s="90" t="s">
        <v>60</v>
      </c>
      <c r="C15" s="161" t="s">
        <v>61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3"/>
    </row>
    <row r="16" spans="1:64" ht="15" customHeight="1">
      <c r="A16" s="65" t="s">
        <v>62</v>
      </c>
      <c r="B16" s="66" t="s">
        <v>63</v>
      </c>
      <c r="C16" s="150" t="s">
        <v>64</v>
      </c>
      <c r="D16" s="150"/>
      <c r="E16" s="150"/>
      <c r="F16" s="150"/>
      <c r="G16" s="150"/>
      <c r="H16" s="150"/>
      <c r="I16" s="150"/>
      <c r="J16" s="66" t="s">
        <v>55</v>
      </c>
      <c r="K16" s="83">
        <v>2</v>
      </c>
      <c r="L16" s="108"/>
      <c r="M16" s="84">
        <f>K16*L16</f>
        <v>0</v>
      </c>
      <c r="Z16" s="83">
        <f>IF(AQ16="5",BJ16,0)</f>
        <v>0</v>
      </c>
      <c r="AB16" s="83">
        <f>IF(AQ16="1",BH16,0)</f>
        <v>0</v>
      </c>
      <c r="AC16" s="83">
        <f>IF(AQ16="1",BI16,0)</f>
        <v>0</v>
      </c>
      <c r="AD16" s="83">
        <f>IF(AQ16="7",BH16,0)</f>
        <v>0</v>
      </c>
      <c r="AE16" s="83">
        <f>IF(AQ16="7",BI16,0)</f>
        <v>0</v>
      </c>
      <c r="AF16" s="83">
        <f>IF(AQ16="2",BH16,0)</f>
        <v>0</v>
      </c>
      <c r="AG16" s="83">
        <f>IF(AQ16="2",BI16,0)</f>
        <v>0</v>
      </c>
      <c r="AH16" s="83">
        <f>IF(AQ16="0",BJ16,0)</f>
        <v>0</v>
      </c>
      <c r="AI16" s="72" t="s">
        <v>49</v>
      </c>
      <c r="AJ16" s="83">
        <f>IF(AN16=0,M16,0)</f>
        <v>0</v>
      </c>
      <c r="AK16" s="83">
        <f>IF(AN16=15,M16,0)</f>
        <v>0</v>
      </c>
      <c r="AL16" s="83">
        <f>IF(AN16=21,M16,0)</f>
        <v>0</v>
      </c>
      <c r="AN16" s="83">
        <v>21</v>
      </c>
      <c r="AO16" s="83">
        <f>L16*0</f>
        <v>0</v>
      </c>
      <c r="AP16" s="83">
        <f>L16*(1-0)</f>
        <v>0</v>
      </c>
      <c r="AQ16" s="85" t="s">
        <v>52</v>
      </c>
      <c r="AV16" s="83">
        <f>AW16+AX16</f>
        <v>0</v>
      </c>
      <c r="AW16" s="83">
        <f>K16*AO16</f>
        <v>0</v>
      </c>
      <c r="AX16" s="83">
        <f>K16*AP16</f>
        <v>0</v>
      </c>
      <c r="AY16" s="85" t="s">
        <v>56</v>
      </c>
      <c r="AZ16" s="85" t="s">
        <v>57</v>
      </c>
      <c r="BA16" s="72" t="s">
        <v>58</v>
      </c>
      <c r="BC16" s="83">
        <f>AW16+AX16</f>
        <v>0</v>
      </c>
      <c r="BD16" s="83">
        <f>L16/(100-BE16)*100</f>
        <v>0</v>
      </c>
      <c r="BE16" s="83">
        <v>0</v>
      </c>
      <c r="BF16" s="83">
        <f>16</f>
        <v>16</v>
      </c>
      <c r="BH16" s="83">
        <f>K16*AO16</f>
        <v>0</v>
      </c>
      <c r="BI16" s="83">
        <f>K16*AP16</f>
        <v>0</v>
      </c>
      <c r="BJ16" s="83">
        <f>K16*L16</f>
        <v>0</v>
      </c>
      <c r="BK16" s="83"/>
      <c r="BL16" s="83">
        <v>11</v>
      </c>
    </row>
    <row r="17" spans="1:13" ht="15" customHeight="1">
      <c r="A17" s="86"/>
      <c r="C17" s="87" t="s">
        <v>62</v>
      </c>
      <c r="I17" s="87" t="s">
        <v>49</v>
      </c>
      <c r="K17" s="88">
        <v>2</v>
      </c>
      <c r="M17" s="89"/>
    </row>
    <row r="18" spans="1:13" ht="27" customHeight="1">
      <c r="A18" s="86"/>
      <c r="B18" s="90" t="s">
        <v>60</v>
      </c>
      <c r="C18" s="161" t="s">
        <v>61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3"/>
    </row>
    <row r="19" spans="1:64" ht="15" customHeight="1">
      <c r="A19" s="65" t="s">
        <v>65</v>
      </c>
      <c r="B19" s="66" t="s">
        <v>66</v>
      </c>
      <c r="C19" s="150" t="s">
        <v>67</v>
      </c>
      <c r="D19" s="150"/>
      <c r="E19" s="150"/>
      <c r="F19" s="150"/>
      <c r="G19" s="150"/>
      <c r="H19" s="150"/>
      <c r="I19" s="150"/>
      <c r="J19" s="66" t="s">
        <v>55</v>
      </c>
      <c r="K19" s="83">
        <v>3</v>
      </c>
      <c r="L19" s="108"/>
      <c r="M19" s="84">
        <f>K19*L19</f>
        <v>0</v>
      </c>
      <c r="Z19" s="83">
        <f>IF(AQ19="5",BJ19,0)</f>
        <v>0</v>
      </c>
      <c r="AB19" s="83">
        <f>IF(AQ19="1",BH19,0)</f>
        <v>0</v>
      </c>
      <c r="AC19" s="83">
        <f>IF(AQ19="1",BI19,0)</f>
        <v>0</v>
      </c>
      <c r="AD19" s="83">
        <f>IF(AQ19="7",BH19,0)</f>
        <v>0</v>
      </c>
      <c r="AE19" s="83">
        <f>IF(AQ19="7",BI19,0)</f>
        <v>0</v>
      </c>
      <c r="AF19" s="83">
        <f>IF(AQ19="2",BH19,0)</f>
        <v>0</v>
      </c>
      <c r="AG19" s="83">
        <f>IF(AQ19="2",BI19,0)</f>
        <v>0</v>
      </c>
      <c r="AH19" s="83">
        <f>IF(AQ19="0",BJ19,0)</f>
        <v>0</v>
      </c>
      <c r="AI19" s="72" t="s">
        <v>49</v>
      </c>
      <c r="AJ19" s="83">
        <f>IF(AN19=0,M19,0)</f>
        <v>0</v>
      </c>
      <c r="AK19" s="83">
        <f>IF(AN19=15,M19,0)</f>
        <v>0</v>
      </c>
      <c r="AL19" s="83">
        <f>IF(AN19=21,M19,0)</f>
        <v>0</v>
      </c>
      <c r="AN19" s="83">
        <v>21</v>
      </c>
      <c r="AO19" s="83">
        <f>L19*0</f>
        <v>0</v>
      </c>
      <c r="AP19" s="83">
        <f>L19*(1-0)</f>
        <v>0</v>
      </c>
      <c r="AQ19" s="85" t="s">
        <v>52</v>
      </c>
      <c r="AV19" s="83">
        <f>AW19+AX19</f>
        <v>0</v>
      </c>
      <c r="AW19" s="83">
        <f>K19*AO19</f>
        <v>0</v>
      </c>
      <c r="AX19" s="83">
        <f>K19*AP19</f>
        <v>0</v>
      </c>
      <c r="AY19" s="85" t="s">
        <v>56</v>
      </c>
      <c r="AZ19" s="85" t="s">
        <v>57</v>
      </c>
      <c r="BA19" s="72" t="s">
        <v>58</v>
      </c>
      <c r="BC19" s="83">
        <f>AW19+AX19</f>
        <v>0</v>
      </c>
      <c r="BD19" s="83">
        <f>L19/(100-BE19)*100</f>
        <v>0</v>
      </c>
      <c r="BE19" s="83">
        <v>0</v>
      </c>
      <c r="BF19" s="83">
        <f>19</f>
        <v>19</v>
      </c>
      <c r="BH19" s="83">
        <f>K19*AO19</f>
        <v>0</v>
      </c>
      <c r="BI19" s="83">
        <f>K19*AP19</f>
        <v>0</v>
      </c>
      <c r="BJ19" s="83">
        <f>K19*L19</f>
        <v>0</v>
      </c>
      <c r="BK19" s="83"/>
      <c r="BL19" s="83">
        <v>11</v>
      </c>
    </row>
    <row r="20" spans="1:13" ht="15" customHeight="1">
      <c r="A20" s="86"/>
      <c r="C20" s="87" t="s">
        <v>65</v>
      </c>
      <c r="I20" s="87" t="s">
        <v>49</v>
      </c>
      <c r="K20" s="88">
        <v>3.0000000000000004</v>
      </c>
      <c r="M20" s="89"/>
    </row>
    <row r="21" spans="1:13" ht="27" customHeight="1">
      <c r="A21" s="86"/>
      <c r="B21" s="90" t="s">
        <v>60</v>
      </c>
      <c r="C21" s="161" t="s">
        <v>61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3"/>
    </row>
    <row r="22" spans="1:64" ht="15" customHeight="1">
      <c r="A22" s="65" t="s">
        <v>68</v>
      </c>
      <c r="B22" s="66" t="s">
        <v>69</v>
      </c>
      <c r="C22" s="150" t="s">
        <v>70</v>
      </c>
      <c r="D22" s="150"/>
      <c r="E22" s="150"/>
      <c r="F22" s="150"/>
      <c r="G22" s="150"/>
      <c r="H22" s="150"/>
      <c r="I22" s="150"/>
      <c r="J22" s="66" t="s">
        <v>55</v>
      </c>
      <c r="K22" s="83">
        <v>8</v>
      </c>
      <c r="L22" s="108"/>
      <c r="M22" s="84">
        <f>K22*L22</f>
        <v>0</v>
      </c>
      <c r="Z22" s="83">
        <f>IF(AQ22="5",BJ22,0)</f>
        <v>0</v>
      </c>
      <c r="AB22" s="83">
        <f>IF(AQ22="1",BH22,0)</f>
        <v>0</v>
      </c>
      <c r="AC22" s="83">
        <f>IF(AQ22="1",BI22,0)</f>
        <v>0</v>
      </c>
      <c r="AD22" s="83">
        <f>IF(AQ22="7",BH22,0)</f>
        <v>0</v>
      </c>
      <c r="AE22" s="83">
        <f>IF(AQ22="7",BI22,0)</f>
        <v>0</v>
      </c>
      <c r="AF22" s="83">
        <f>IF(AQ22="2",BH22,0)</f>
        <v>0</v>
      </c>
      <c r="AG22" s="83">
        <f>IF(AQ22="2",BI22,0)</f>
        <v>0</v>
      </c>
      <c r="AH22" s="83">
        <f>IF(AQ22="0",BJ22,0)</f>
        <v>0</v>
      </c>
      <c r="AI22" s="72" t="s">
        <v>49</v>
      </c>
      <c r="AJ22" s="83">
        <f>IF(AN22=0,M22,0)</f>
        <v>0</v>
      </c>
      <c r="AK22" s="83">
        <f>IF(AN22=15,M22,0)</f>
        <v>0</v>
      </c>
      <c r="AL22" s="83">
        <f>IF(AN22=21,M22,0)</f>
        <v>0</v>
      </c>
      <c r="AN22" s="83">
        <v>21</v>
      </c>
      <c r="AO22" s="83">
        <f>L22*0.00669596767057019</f>
        <v>0</v>
      </c>
      <c r="AP22" s="83">
        <f>L22*(1-0.00669596767057019)</f>
        <v>0</v>
      </c>
      <c r="AQ22" s="85" t="s">
        <v>52</v>
      </c>
      <c r="AV22" s="83">
        <f>AW22+AX22</f>
        <v>0</v>
      </c>
      <c r="AW22" s="83">
        <f>K22*AO22</f>
        <v>0</v>
      </c>
      <c r="AX22" s="83">
        <f>K22*AP22</f>
        <v>0</v>
      </c>
      <c r="AY22" s="85" t="s">
        <v>56</v>
      </c>
      <c r="AZ22" s="85" t="s">
        <v>57</v>
      </c>
      <c r="BA22" s="72" t="s">
        <v>58</v>
      </c>
      <c r="BC22" s="83">
        <f>AW22+AX22</f>
        <v>0</v>
      </c>
      <c r="BD22" s="83">
        <f>L22/(100-BE22)*100</f>
        <v>0</v>
      </c>
      <c r="BE22" s="83">
        <v>0</v>
      </c>
      <c r="BF22" s="83">
        <f>22</f>
        <v>22</v>
      </c>
      <c r="BH22" s="83">
        <f>K22*AO22</f>
        <v>0</v>
      </c>
      <c r="BI22" s="83">
        <f>K22*AP22</f>
        <v>0</v>
      </c>
      <c r="BJ22" s="83">
        <f>K22*L22</f>
        <v>0</v>
      </c>
      <c r="BK22" s="83"/>
      <c r="BL22" s="83">
        <v>11</v>
      </c>
    </row>
    <row r="23" spans="1:13" ht="15" customHeight="1">
      <c r="A23" s="86"/>
      <c r="C23" s="87" t="s">
        <v>71</v>
      </c>
      <c r="I23" s="87" t="s">
        <v>49</v>
      </c>
      <c r="K23" s="88">
        <v>8</v>
      </c>
      <c r="M23" s="89"/>
    </row>
    <row r="24" spans="1:13" ht="40.5" customHeight="1">
      <c r="A24" s="86"/>
      <c r="B24" s="90" t="s">
        <v>60</v>
      </c>
      <c r="C24" s="161" t="s">
        <v>72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3"/>
    </row>
    <row r="25" spans="1:64" ht="15" customHeight="1">
      <c r="A25" s="65" t="s">
        <v>73</v>
      </c>
      <c r="B25" s="66" t="s">
        <v>74</v>
      </c>
      <c r="C25" s="150" t="s">
        <v>75</v>
      </c>
      <c r="D25" s="150"/>
      <c r="E25" s="150"/>
      <c r="F25" s="150"/>
      <c r="G25" s="150"/>
      <c r="H25" s="150"/>
      <c r="I25" s="150"/>
      <c r="J25" s="66" t="s">
        <v>55</v>
      </c>
      <c r="K25" s="83">
        <v>3</v>
      </c>
      <c r="L25" s="108"/>
      <c r="M25" s="84">
        <f>K25*L25</f>
        <v>0</v>
      </c>
      <c r="Z25" s="83">
        <f>IF(AQ25="5",BJ25,0)</f>
        <v>0</v>
      </c>
      <c r="AB25" s="83">
        <f>IF(AQ25="1",BH25,0)</f>
        <v>0</v>
      </c>
      <c r="AC25" s="83">
        <f>IF(AQ25="1",BI25,0)</f>
        <v>0</v>
      </c>
      <c r="AD25" s="83">
        <f>IF(AQ25="7",BH25,0)</f>
        <v>0</v>
      </c>
      <c r="AE25" s="83">
        <f>IF(AQ25="7",BI25,0)</f>
        <v>0</v>
      </c>
      <c r="AF25" s="83">
        <f>IF(AQ25="2",BH25,0)</f>
        <v>0</v>
      </c>
      <c r="AG25" s="83">
        <f>IF(AQ25="2",BI25,0)</f>
        <v>0</v>
      </c>
      <c r="AH25" s="83">
        <f>IF(AQ25="0",BJ25,0)</f>
        <v>0</v>
      </c>
      <c r="AI25" s="72" t="s">
        <v>49</v>
      </c>
      <c r="AJ25" s="83">
        <f>IF(AN25=0,M25,0)</f>
        <v>0</v>
      </c>
      <c r="AK25" s="83">
        <f>IF(AN25=15,M25,0)</f>
        <v>0</v>
      </c>
      <c r="AL25" s="83">
        <f>IF(AN25=21,M25,0)</f>
        <v>0</v>
      </c>
      <c r="AN25" s="83">
        <v>21</v>
      </c>
      <c r="AO25" s="83">
        <f>L25*0.00279212792127921</f>
        <v>0</v>
      </c>
      <c r="AP25" s="83">
        <f>L25*(1-0.00279212792127921)</f>
        <v>0</v>
      </c>
      <c r="AQ25" s="85" t="s">
        <v>52</v>
      </c>
      <c r="AV25" s="83">
        <f>AW25+AX25</f>
        <v>0</v>
      </c>
      <c r="AW25" s="83">
        <f>K25*AO25</f>
        <v>0</v>
      </c>
      <c r="AX25" s="83">
        <f>K25*AP25</f>
        <v>0</v>
      </c>
      <c r="AY25" s="85" t="s">
        <v>56</v>
      </c>
      <c r="AZ25" s="85" t="s">
        <v>57</v>
      </c>
      <c r="BA25" s="72" t="s">
        <v>58</v>
      </c>
      <c r="BC25" s="83">
        <f>AW25+AX25</f>
        <v>0</v>
      </c>
      <c r="BD25" s="83">
        <f>L25/(100-BE25)*100</f>
        <v>0</v>
      </c>
      <c r="BE25" s="83">
        <v>0</v>
      </c>
      <c r="BF25" s="83">
        <f>25</f>
        <v>25</v>
      </c>
      <c r="BH25" s="83">
        <f>K25*AO25</f>
        <v>0</v>
      </c>
      <c r="BI25" s="83">
        <f>K25*AP25</f>
        <v>0</v>
      </c>
      <c r="BJ25" s="83">
        <f>K25*L25</f>
        <v>0</v>
      </c>
      <c r="BK25" s="83"/>
      <c r="BL25" s="83">
        <v>11</v>
      </c>
    </row>
    <row r="26" spans="1:13" ht="15" customHeight="1">
      <c r="A26" s="86"/>
      <c r="C26" s="87" t="s">
        <v>65</v>
      </c>
      <c r="I26" s="87" t="s">
        <v>49</v>
      </c>
      <c r="K26" s="88">
        <v>3.0000000000000004</v>
      </c>
      <c r="M26" s="89"/>
    </row>
    <row r="27" spans="1:13" ht="40.5" customHeight="1">
      <c r="A27" s="86"/>
      <c r="B27" s="90" t="s">
        <v>60</v>
      </c>
      <c r="C27" s="161" t="s">
        <v>76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3"/>
    </row>
    <row r="28" spans="1:64" ht="15" customHeight="1">
      <c r="A28" s="65" t="s">
        <v>59</v>
      </c>
      <c r="B28" s="66" t="s">
        <v>77</v>
      </c>
      <c r="C28" s="150" t="s">
        <v>78</v>
      </c>
      <c r="D28" s="150"/>
      <c r="E28" s="150"/>
      <c r="F28" s="150"/>
      <c r="G28" s="150"/>
      <c r="H28" s="150"/>
      <c r="I28" s="150"/>
      <c r="J28" s="66" t="s">
        <v>79</v>
      </c>
      <c r="K28" s="83">
        <v>60.5</v>
      </c>
      <c r="L28" s="108"/>
      <c r="M28" s="84">
        <f>K28*L28</f>
        <v>0</v>
      </c>
      <c r="Z28" s="83">
        <f>IF(AQ28="5",BJ28,0)</f>
        <v>0</v>
      </c>
      <c r="AB28" s="83">
        <f>IF(AQ28="1",BH28,0)</f>
        <v>0</v>
      </c>
      <c r="AC28" s="83">
        <f>IF(AQ28="1",BI28,0)</f>
        <v>0</v>
      </c>
      <c r="AD28" s="83">
        <f>IF(AQ28="7",BH28,0)</f>
        <v>0</v>
      </c>
      <c r="AE28" s="83">
        <f>IF(AQ28="7",BI28,0)</f>
        <v>0</v>
      </c>
      <c r="AF28" s="83">
        <f>IF(AQ28="2",BH28,0)</f>
        <v>0</v>
      </c>
      <c r="AG28" s="83">
        <f>IF(AQ28="2",BI28,0)</f>
        <v>0</v>
      </c>
      <c r="AH28" s="83">
        <f>IF(AQ28="0",BJ28,0)</f>
        <v>0</v>
      </c>
      <c r="AI28" s="72" t="s">
        <v>49</v>
      </c>
      <c r="AJ28" s="83">
        <f>IF(AN28=0,M28,0)</f>
        <v>0</v>
      </c>
      <c r="AK28" s="83">
        <f>IF(AN28=15,M28,0)</f>
        <v>0</v>
      </c>
      <c r="AL28" s="83">
        <f>IF(AN28=21,M28,0)</f>
        <v>0</v>
      </c>
      <c r="AN28" s="83">
        <v>21</v>
      </c>
      <c r="AO28" s="83">
        <f>L28*0</f>
        <v>0</v>
      </c>
      <c r="AP28" s="83">
        <f>L28*(1-0)</f>
        <v>0</v>
      </c>
      <c r="AQ28" s="85" t="s">
        <v>52</v>
      </c>
      <c r="AV28" s="83">
        <f>AW28+AX28</f>
        <v>0</v>
      </c>
      <c r="AW28" s="83">
        <f>K28*AO28</f>
        <v>0</v>
      </c>
      <c r="AX28" s="83">
        <f>K28*AP28</f>
        <v>0</v>
      </c>
      <c r="AY28" s="85" t="s">
        <v>56</v>
      </c>
      <c r="AZ28" s="85" t="s">
        <v>57</v>
      </c>
      <c r="BA28" s="72" t="s">
        <v>58</v>
      </c>
      <c r="BC28" s="83">
        <f>AW28+AX28</f>
        <v>0</v>
      </c>
      <c r="BD28" s="83">
        <f>L28/(100-BE28)*100</f>
        <v>0</v>
      </c>
      <c r="BE28" s="83">
        <v>0</v>
      </c>
      <c r="BF28" s="83">
        <f>28</f>
        <v>28</v>
      </c>
      <c r="BH28" s="83">
        <f>K28*AO28</f>
        <v>0</v>
      </c>
      <c r="BI28" s="83">
        <f>K28*AP28</f>
        <v>0</v>
      </c>
      <c r="BJ28" s="83">
        <f>K28*L28</f>
        <v>0</v>
      </c>
      <c r="BK28" s="83"/>
      <c r="BL28" s="83">
        <v>11</v>
      </c>
    </row>
    <row r="29" spans="1:13" ht="15" customHeight="1">
      <c r="A29" s="86"/>
      <c r="C29" s="87" t="s">
        <v>80</v>
      </c>
      <c r="I29" s="87" t="s">
        <v>49</v>
      </c>
      <c r="K29" s="88">
        <v>60.50000000000001</v>
      </c>
      <c r="M29" s="89"/>
    </row>
    <row r="30" spans="1:13" ht="40.5" customHeight="1">
      <c r="A30" s="86"/>
      <c r="B30" s="90" t="s">
        <v>60</v>
      </c>
      <c r="C30" s="161" t="s">
        <v>81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3"/>
    </row>
    <row r="31" spans="1:64" ht="15" customHeight="1">
      <c r="A31" s="65" t="s">
        <v>82</v>
      </c>
      <c r="B31" s="66" t="s">
        <v>83</v>
      </c>
      <c r="C31" s="150" t="s">
        <v>84</v>
      </c>
      <c r="D31" s="150"/>
      <c r="E31" s="150"/>
      <c r="F31" s="150"/>
      <c r="G31" s="150"/>
      <c r="H31" s="150"/>
      <c r="I31" s="150"/>
      <c r="J31" s="66" t="s">
        <v>79</v>
      </c>
      <c r="K31" s="83">
        <v>293.823</v>
      </c>
      <c r="L31" s="108"/>
      <c r="M31" s="84">
        <f>K31*L31</f>
        <v>0</v>
      </c>
      <c r="Z31" s="83">
        <f>IF(AQ31="5",BJ31,0)</f>
        <v>0</v>
      </c>
      <c r="AB31" s="83">
        <f>IF(AQ31="1",BH31,0)</f>
        <v>0</v>
      </c>
      <c r="AC31" s="83">
        <f>IF(AQ31="1",BI31,0)</f>
        <v>0</v>
      </c>
      <c r="AD31" s="83">
        <f>IF(AQ31="7",BH31,0)</f>
        <v>0</v>
      </c>
      <c r="AE31" s="83">
        <f>IF(AQ31="7",BI31,0)</f>
        <v>0</v>
      </c>
      <c r="AF31" s="83">
        <f>IF(AQ31="2",BH31,0)</f>
        <v>0</v>
      </c>
      <c r="AG31" s="83">
        <f>IF(AQ31="2",BI31,0)</f>
        <v>0</v>
      </c>
      <c r="AH31" s="83">
        <f>IF(AQ31="0",BJ31,0)</f>
        <v>0</v>
      </c>
      <c r="AI31" s="72" t="s">
        <v>49</v>
      </c>
      <c r="AJ31" s="83">
        <f>IF(AN31=0,M31,0)</f>
        <v>0</v>
      </c>
      <c r="AK31" s="83">
        <f>IF(AN31=15,M31,0)</f>
        <v>0</v>
      </c>
      <c r="AL31" s="83">
        <f>IF(AN31=21,M31,0)</f>
        <v>0</v>
      </c>
      <c r="AN31" s="83">
        <v>21</v>
      </c>
      <c r="AO31" s="83">
        <f>L31*0</f>
        <v>0</v>
      </c>
      <c r="AP31" s="83">
        <f>L31*(1-0)</f>
        <v>0</v>
      </c>
      <c r="AQ31" s="85" t="s">
        <v>52</v>
      </c>
      <c r="AV31" s="83">
        <f>AW31+AX31</f>
        <v>0</v>
      </c>
      <c r="AW31" s="83">
        <f>K31*AO31</f>
        <v>0</v>
      </c>
      <c r="AX31" s="83">
        <f>K31*AP31</f>
        <v>0</v>
      </c>
      <c r="AY31" s="85" t="s">
        <v>56</v>
      </c>
      <c r="AZ31" s="85" t="s">
        <v>57</v>
      </c>
      <c r="BA31" s="72" t="s">
        <v>58</v>
      </c>
      <c r="BC31" s="83">
        <f>AW31+AX31</f>
        <v>0</v>
      </c>
      <c r="BD31" s="83">
        <f>L31/(100-BE31)*100</f>
        <v>0</v>
      </c>
      <c r="BE31" s="83">
        <v>0</v>
      </c>
      <c r="BF31" s="83">
        <f>31</f>
        <v>31</v>
      </c>
      <c r="BH31" s="83">
        <f>K31*AO31</f>
        <v>0</v>
      </c>
      <c r="BI31" s="83">
        <f>K31*AP31</f>
        <v>0</v>
      </c>
      <c r="BJ31" s="83">
        <f>K31*L31</f>
        <v>0</v>
      </c>
      <c r="BK31" s="83"/>
      <c r="BL31" s="83">
        <v>11</v>
      </c>
    </row>
    <row r="32" spans="1:13" ht="15" customHeight="1">
      <c r="A32" s="86"/>
      <c r="C32" s="87" t="s">
        <v>85</v>
      </c>
      <c r="I32" s="87" t="s">
        <v>86</v>
      </c>
      <c r="K32" s="88">
        <v>532</v>
      </c>
      <c r="M32" s="89"/>
    </row>
    <row r="33" spans="1:13" ht="15" customHeight="1">
      <c r="A33" s="86"/>
      <c r="C33" s="87" t="s">
        <v>87</v>
      </c>
      <c r="I33" s="87" t="s">
        <v>88</v>
      </c>
      <c r="K33" s="88">
        <v>-154.01000000000002</v>
      </c>
      <c r="M33" s="89"/>
    </row>
    <row r="34" spans="1:13" ht="15" customHeight="1">
      <c r="A34" s="86"/>
      <c r="C34" s="87" t="s">
        <v>89</v>
      </c>
      <c r="I34" s="87" t="s">
        <v>90</v>
      </c>
      <c r="K34" s="88">
        <v>-84.167</v>
      </c>
      <c r="M34" s="89"/>
    </row>
    <row r="35" spans="1:64" ht="15" customHeight="1">
      <c r="A35" s="65" t="s">
        <v>71</v>
      </c>
      <c r="B35" s="66" t="s">
        <v>91</v>
      </c>
      <c r="C35" s="150" t="s">
        <v>92</v>
      </c>
      <c r="D35" s="150"/>
      <c r="E35" s="150"/>
      <c r="F35" s="150"/>
      <c r="G35" s="150"/>
      <c r="H35" s="150"/>
      <c r="I35" s="150"/>
      <c r="J35" s="66" t="s">
        <v>79</v>
      </c>
      <c r="K35" s="83">
        <v>821.516</v>
      </c>
      <c r="L35" s="108"/>
      <c r="M35" s="84">
        <f>K35*L35</f>
        <v>0</v>
      </c>
      <c r="Z35" s="83">
        <f>IF(AQ35="5",BJ35,0)</f>
        <v>0</v>
      </c>
      <c r="AB35" s="83">
        <f>IF(AQ35="1",BH35,0)</f>
        <v>0</v>
      </c>
      <c r="AC35" s="83">
        <f>IF(AQ35="1",BI35,0)</f>
        <v>0</v>
      </c>
      <c r="AD35" s="83">
        <f>IF(AQ35="7",BH35,0)</f>
        <v>0</v>
      </c>
      <c r="AE35" s="83">
        <f>IF(AQ35="7",BI35,0)</f>
        <v>0</v>
      </c>
      <c r="AF35" s="83">
        <f>IF(AQ35="2",BH35,0)</f>
        <v>0</v>
      </c>
      <c r="AG35" s="83">
        <f>IF(AQ35="2",BI35,0)</f>
        <v>0</v>
      </c>
      <c r="AH35" s="83">
        <f>IF(AQ35="0",BJ35,0)</f>
        <v>0</v>
      </c>
      <c r="AI35" s="72" t="s">
        <v>49</v>
      </c>
      <c r="AJ35" s="83">
        <f>IF(AN35=0,M35,0)</f>
        <v>0</v>
      </c>
      <c r="AK35" s="83">
        <f>IF(AN35=15,M35,0)</f>
        <v>0</v>
      </c>
      <c r="AL35" s="83">
        <f>IF(AN35=21,M35,0)</f>
        <v>0</v>
      </c>
      <c r="AN35" s="83">
        <v>21</v>
      </c>
      <c r="AO35" s="83">
        <f>L35*0</f>
        <v>0</v>
      </c>
      <c r="AP35" s="83">
        <f>L35*(1-0)</f>
        <v>0</v>
      </c>
      <c r="AQ35" s="85" t="s">
        <v>52</v>
      </c>
      <c r="AV35" s="83">
        <f>AW35+AX35</f>
        <v>0</v>
      </c>
      <c r="AW35" s="83">
        <f>K35*AO35</f>
        <v>0</v>
      </c>
      <c r="AX35" s="83">
        <f>K35*AP35</f>
        <v>0</v>
      </c>
      <c r="AY35" s="85" t="s">
        <v>56</v>
      </c>
      <c r="AZ35" s="85" t="s">
        <v>57</v>
      </c>
      <c r="BA35" s="72" t="s">
        <v>58</v>
      </c>
      <c r="BC35" s="83">
        <f>AW35+AX35</f>
        <v>0</v>
      </c>
      <c r="BD35" s="83">
        <f>L35/(100-BE35)*100</f>
        <v>0</v>
      </c>
      <c r="BE35" s="83">
        <v>0</v>
      </c>
      <c r="BF35" s="83">
        <f>35</f>
        <v>35</v>
      </c>
      <c r="BH35" s="83">
        <f>K35*AO35</f>
        <v>0</v>
      </c>
      <c r="BI35" s="83">
        <f>K35*AP35</f>
        <v>0</v>
      </c>
      <c r="BJ35" s="83">
        <f>K35*L35</f>
        <v>0</v>
      </c>
      <c r="BK35" s="83"/>
      <c r="BL35" s="83">
        <v>11</v>
      </c>
    </row>
    <row r="36" spans="1:13" ht="15" customHeight="1">
      <c r="A36" s="86"/>
      <c r="C36" s="87" t="s">
        <v>93</v>
      </c>
      <c r="I36" s="87" t="s">
        <v>94</v>
      </c>
      <c r="K36" s="88">
        <v>1134</v>
      </c>
      <c r="M36" s="89"/>
    </row>
    <row r="37" spans="1:13" ht="15" customHeight="1">
      <c r="A37" s="86"/>
      <c r="C37" s="87" t="s">
        <v>95</v>
      </c>
      <c r="I37" s="87" t="s">
        <v>96</v>
      </c>
      <c r="K37" s="88">
        <v>96.00000000000001</v>
      </c>
      <c r="M37" s="89"/>
    </row>
    <row r="38" spans="1:13" ht="15" customHeight="1">
      <c r="A38" s="86"/>
      <c r="C38" s="87" t="s">
        <v>97</v>
      </c>
      <c r="I38" s="87" t="s">
        <v>98</v>
      </c>
      <c r="K38" s="88">
        <v>-287.723</v>
      </c>
      <c r="M38" s="89"/>
    </row>
    <row r="39" spans="1:13" ht="15" customHeight="1">
      <c r="A39" s="86"/>
      <c r="C39" s="87" t="s">
        <v>99</v>
      </c>
      <c r="I39" s="87" t="s">
        <v>100</v>
      </c>
      <c r="K39" s="88">
        <v>-120.76100000000001</v>
      </c>
      <c r="M39" s="89"/>
    </row>
    <row r="40" spans="1:64" ht="15" customHeight="1">
      <c r="A40" s="65" t="s">
        <v>101</v>
      </c>
      <c r="B40" s="66" t="s">
        <v>102</v>
      </c>
      <c r="C40" s="150" t="s">
        <v>103</v>
      </c>
      <c r="D40" s="150"/>
      <c r="E40" s="150"/>
      <c r="F40" s="150"/>
      <c r="G40" s="150"/>
      <c r="H40" s="150"/>
      <c r="I40" s="150"/>
      <c r="J40" s="66" t="s">
        <v>79</v>
      </c>
      <c r="K40" s="83">
        <v>838.525</v>
      </c>
      <c r="L40" s="108"/>
      <c r="M40" s="84">
        <f>K40*L40</f>
        <v>0</v>
      </c>
      <c r="Z40" s="83">
        <f>IF(AQ40="5",BJ40,0)</f>
        <v>0</v>
      </c>
      <c r="AB40" s="83">
        <f>IF(AQ40="1",BH40,0)</f>
        <v>0</v>
      </c>
      <c r="AC40" s="83">
        <f>IF(AQ40="1",BI40,0)</f>
        <v>0</v>
      </c>
      <c r="AD40" s="83">
        <f>IF(AQ40="7",BH40,0)</f>
        <v>0</v>
      </c>
      <c r="AE40" s="83">
        <f>IF(AQ40="7",BI40,0)</f>
        <v>0</v>
      </c>
      <c r="AF40" s="83">
        <f>IF(AQ40="2",BH40,0)</f>
        <v>0</v>
      </c>
      <c r="AG40" s="83">
        <f>IF(AQ40="2",BI40,0)</f>
        <v>0</v>
      </c>
      <c r="AH40" s="83">
        <f>IF(AQ40="0",BJ40,0)</f>
        <v>0</v>
      </c>
      <c r="AI40" s="72" t="s">
        <v>49</v>
      </c>
      <c r="AJ40" s="83">
        <f>IF(AN40=0,M40,0)</f>
        <v>0</v>
      </c>
      <c r="AK40" s="83">
        <f>IF(AN40=15,M40,0)</f>
        <v>0</v>
      </c>
      <c r="AL40" s="83">
        <f>IF(AN40=21,M40,0)</f>
        <v>0</v>
      </c>
      <c r="AN40" s="83">
        <v>21</v>
      </c>
      <c r="AO40" s="83">
        <f>L40*0</f>
        <v>0</v>
      </c>
      <c r="AP40" s="83">
        <f>L40*(1-0)</f>
        <v>0</v>
      </c>
      <c r="AQ40" s="85" t="s">
        <v>52</v>
      </c>
      <c r="AV40" s="83">
        <f>AW40+AX40</f>
        <v>0</v>
      </c>
      <c r="AW40" s="83">
        <f>K40*AO40</f>
        <v>0</v>
      </c>
      <c r="AX40" s="83">
        <f>K40*AP40</f>
        <v>0</v>
      </c>
      <c r="AY40" s="85" t="s">
        <v>56</v>
      </c>
      <c r="AZ40" s="85" t="s">
        <v>57</v>
      </c>
      <c r="BA40" s="72" t="s">
        <v>58</v>
      </c>
      <c r="BC40" s="83">
        <f>AW40+AX40</f>
        <v>0</v>
      </c>
      <c r="BD40" s="83">
        <f>L40/(100-BE40)*100</f>
        <v>0</v>
      </c>
      <c r="BE40" s="83">
        <v>0</v>
      </c>
      <c r="BF40" s="83">
        <f>40</f>
        <v>40</v>
      </c>
      <c r="BH40" s="83">
        <f>K40*AO40</f>
        <v>0</v>
      </c>
      <c r="BI40" s="83">
        <f>K40*AP40</f>
        <v>0</v>
      </c>
      <c r="BJ40" s="83">
        <f>K40*L40</f>
        <v>0</v>
      </c>
      <c r="BK40" s="83"/>
      <c r="BL40" s="83">
        <v>11</v>
      </c>
    </row>
    <row r="41" spans="1:13" ht="15" customHeight="1">
      <c r="A41" s="86"/>
      <c r="C41" s="87" t="s">
        <v>104</v>
      </c>
      <c r="I41" s="87" t="s">
        <v>105</v>
      </c>
      <c r="K41" s="88">
        <v>1169</v>
      </c>
      <c r="M41" s="89"/>
    </row>
    <row r="42" spans="1:13" ht="15" customHeight="1">
      <c r="A42" s="86"/>
      <c r="C42" s="87" t="s">
        <v>106</v>
      </c>
      <c r="I42" s="87" t="s">
        <v>49</v>
      </c>
      <c r="K42" s="88">
        <v>81</v>
      </c>
      <c r="M42" s="89"/>
    </row>
    <row r="43" spans="1:13" ht="15" customHeight="1">
      <c r="A43" s="86"/>
      <c r="C43" s="87" t="s">
        <v>107</v>
      </c>
      <c r="I43" s="87" t="s">
        <v>108</v>
      </c>
      <c r="K43" s="88">
        <v>-250.67000000000002</v>
      </c>
      <c r="M43" s="89"/>
    </row>
    <row r="44" spans="1:13" ht="15" customHeight="1">
      <c r="A44" s="86"/>
      <c r="C44" s="87" t="s">
        <v>109</v>
      </c>
      <c r="I44" s="87" t="s">
        <v>110</v>
      </c>
      <c r="K44" s="88">
        <v>-160.805</v>
      </c>
      <c r="M44" s="89"/>
    </row>
    <row r="45" spans="1:64" ht="15" customHeight="1">
      <c r="A45" s="65" t="s">
        <v>111</v>
      </c>
      <c r="B45" s="66" t="s">
        <v>112</v>
      </c>
      <c r="C45" s="150" t="s">
        <v>113</v>
      </c>
      <c r="D45" s="150"/>
      <c r="E45" s="150"/>
      <c r="F45" s="150"/>
      <c r="G45" s="150"/>
      <c r="H45" s="150"/>
      <c r="I45" s="150"/>
      <c r="J45" s="66" t="s">
        <v>79</v>
      </c>
      <c r="K45" s="83">
        <v>1051.348</v>
      </c>
      <c r="L45" s="108"/>
      <c r="M45" s="84">
        <f>K45*L45</f>
        <v>0</v>
      </c>
      <c r="Z45" s="83">
        <f>IF(AQ45="5",BJ45,0)</f>
        <v>0</v>
      </c>
      <c r="AB45" s="83">
        <f>IF(AQ45="1",BH45,0)</f>
        <v>0</v>
      </c>
      <c r="AC45" s="83">
        <f>IF(AQ45="1",BI45,0)</f>
        <v>0</v>
      </c>
      <c r="AD45" s="83">
        <f>IF(AQ45="7",BH45,0)</f>
        <v>0</v>
      </c>
      <c r="AE45" s="83">
        <f>IF(AQ45="7",BI45,0)</f>
        <v>0</v>
      </c>
      <c r="AF45" s="83">
        <f>IF(AQ45="2",BH45,0)</f>
        <v>0</v>
      </c>
      <c r="AG45" s="83">
        <f>IF(AQ45="2",BI45,0)</f>
        <v>0</v>
      </c>
      <c r="AH45" s="83">
        <f>IF(AQ45="0",BJ45,0)</f>
        <v>0</v>
      </c>
      <c r="AI45" s="72" t="s">
        <v>49</v>
      </c>
      <c r="AJ45" s="83">
        <f>IF(AN45=0,M45,0)</f>
        <v>0</v>
      </c>
      <c r="AK45" s="83">
        <f>IF(AN45=15,M45,0)</f>
        <v>0</v>
      </c>
      <c r="AL45" s="83">
        <f>IF(AN45=21,M45,0)</f>
        <v>0</v>
      </c>
      <c r="AN45" s="83">
        <v>21</v>
      </c>
      <c r="AO45" s="83">
        <f>L45*0</f>
        <v>0</v>
      </c>
      <c r="AP45" s="83">
        <f>L45*(1-0)</f>
        <v>0</v>
      </c>
      <c r="AQ45" s="85" t="s">
        <v>52</v>
      </c>
      <c r="AV45" s="83">
        <f>AW45+AX45</f>
        <v>0</v>
      </c>
      <c r="AW45" s="83">
        <f>K45*AO45</f>
        <v>0</v>
      </c>
      <c r="AX45" s="83">
        <f>K45*AP45</f>
        <v>0</v>
      </c>
      <c r="AY45" s="85" t="s">
        <v>56</v>
      </c>
      <c r="AZ45" s="85" t="s">
        <v>57</v>
      </c>
      <c r="BA45" s="72" t="s">
        <v>58</v>
      </c>
      <c r="BC45" s="83">
        <f>AW45+AX45</f>
        <v>0</v>
      </c>
      <c r="BD45" s="83">
        <f>L45/(100-BE45)*100</f>
        <v>0</v>
      </c>
      <c r="BE45" s="83">
        <v>0</v>
      </c>
      <c r="BF45" s="83">
        <f>45</f>
        <v>45</v>
      </c>
      <c r="BH45" s="83">
        <f>K45*AO45</f>
        <v>0</v>
      </c>
      <c r="BI45" s="83">
        <f>K45*AP45</f>
        <v>0</v>
      </c>
      <c r="BJ45" s="83">
        <f>K45*L45</f>
        <v>0</v>
      </c>
      <c r="BK45" s="83"/>
      <c r="BL45" s="83">
        <v>11</v>
      </c>
    </row>
    <row r="46" spans="1:13" ht="15" customHeight="1">
      <c r="A46" s="86"/>
      <c r="C46" s="87" t="s">
        <v>114</v>
      </c>
      <c r="I46" s="87" t="s">
        <v>49</v>
      </c>
      <c r="K46" s="88">
        <v>1701.0000000000002</v>
      </c>
      <c r="M46" s="89"/>
    </row>
    <row r="47" spans="1:13" ht="15" customHeight="1">
      <c r="A47" s="86"/>
      <c r="C47" s="87" t="s">
        <v>115</v>
      </c>
      <c r="I47" s="87" t="s">
        <v>88</v>
      </c>
      <c r="K47" s="88">
        <v>-404.68</v>
      </c>
      <c r="M47" s="89"/>
    </row>
    <row r="48" spans="1:13" ht="15" customHeight="1">
      <c r="A48" s="86"/>
      <c r="C48" s="87" t="s">
        <v>116</v>
      </c>
      <c r="I48" s="87" t="s">
        <v>90</v>
      </c>
      <c r="K48" s="88">
        <v>-244.972</v>
      </c>
      <c r="M48" s="89"/>
    </row>
    <row r="49" spans="1:64" ht="15" customHeight="1">
      <c r="A49" s="65" t="s">
        <v>50</v>
      </c>
      <c r="B49" s="66" t="s">
        <v>117</v>
      </c>
      <c r="C49" s="150" t="s">
        <v>118</v>
      </c>
      <c r="D49" s="150"/>
      <c r="E49" s="150"/>
      <c r="F49" s="150"/>
      <c r="G49" s="150"/>
      <c r="H49" s="150"/>
      <c r="I49" s="150"/>
      <c r="J49" s="66" t="s">
        <v>79</v>
      </c>
      <c r="K49" s="83">
        <v>227.2575</v>
      </c>
      <c r="L49" s="108"/>
      <c r="M49" s="84">
        <f>K49*L49</f>
        <v>0</v>
      </c>
      <c r="Z49" s="83">
        <f>IF(AQ49="5",BJ49,0)</f>
        <v>0</v>
      </c>
      <c r="AB49" s="83">
        <f>IF(AQ49="1",BH49,0)</f>
        <v>0</v>
      </c>
      <c r="AC49" s="83">
        <f>IF(AQ49="1",BI49,0)</f>
        <v>0</v>
      </c>
      <c r="AD49" s="83">
        <f>IF(AQ49="7",BH49,0)</f>
        <v>0</v>
      </c>
      <c r="AE49" s="83">
        <f>IF(AQ49="7",BI49,0)</f>
        <v>0</v>
      </c>
      <c r="AF49" s="83">
        <f>IF(AQ49="2",BH49,0)</f>
        <v>0</v>
      </c>
      <c r="AG49" s="83">
        <f>IF(AQ49="2",BI49,0)</f>
        <v>0</v>
      </c>
      <c r="AH49" s="83">
        <f>IF(AQ49="0",BJ49,0)</f>
        <v>0</v>
      </c>
      <c r="AI49" s="72" t="s">
        <v>49</v>
      </c>
      <c r="AJ49" s="83">
        <f>IF(AN49=0,M49,0)</f>
        <v>0</v>
      </c>
      <c r="AK49" s="83">
        <f>IF(AN49=15,M49,0)</f>
        <v>0</v>
      </c>
      <c r="AL49" s="83">
        <f>IF(AN49=21,M49,0)</f>
        <v>0</v>
      </c>
      <c r="AN49" s="83">
        <v>21</v>
      </c>
      <c r="AO49" s="83">
        <f>L49*0</f>
        <v>0</v>
      </c>
      <c r="AP49" s="83">
        <f>L49*(1-0)</f>
        <v>0</v>
      </c>
      <c r="AQ49" s="85" t="s">
        <v>52</v>
      </c>
      <c r="AV49" s="83">
        <f>AW49+AX49</f>
        <v>0</v>
      </c>
      <c r="AW49" s="83">
        <f>K49*AO49</f>
        <v>0</v>
      </c>
      <c r="AX49" s="83">
        <f>K49*AP49</f>
        <v>0</v>
      </c>
      <c r="AY49" s="85" t="s">
        <v>56</v>
      </c>
      <c r="AZ49" s="85" t="s">
        <v>57</v>
      </c>
      <c r="BA49" s="72" t="s">
        <v>58</v>
      </c>
      <c r="BC49" s="83">
        <f>AW49+AX49</f>
        <v>0</v>
      </c>
      <c r="BD49" s="83">
        <f>L49/(100-BE49)*100</f>
        <v>0</v>
      </c>
      <c r="BE49" s="83">
        <v>0</v>
      </c>
      <c r="BF49" s="83">
        <f>49</f>
        <v>49</v>
      </c>
      <c r="BH49" s="83">
        <f>K49*AO49</f>
        <v>0</v>
      </c>
      <c r="BI49" s="83">
        <f>K49*AP49</f>
        <v>0</v>
      </c>
      <c r="BJ49" s="83">
        <f>K49*L49</f>
        <v>0</v>
      </c>
      <c r="BK49" s="83"/>
      <c r="BL49" s="83">
        <v>11</v>
      </c>
    </row>
    <row r="50" spans="1:13" ht="15" customHeight="1">
      <c r="A50" s="86"/>
      <c r="C50" s="87" t="s">
        <v>119</v>
      </c>
      <c r="I50" s="87" t="s">
        <v>120</v>
      </c>
      <c r="K50" s="88">
        <v>350.70000000000005</v>
      </c>
      <c r="M50" s="89"/>
    </row>
    <row r="51" spans="1:13" ht="15" customHeight="1">
      <c r="A51" s="86"/>
      <c r="C51" s="87" t="s">
        <v>121</v>
      </c>
      <c r="I51" s="87" t="s">
        <v>108</v>
      </c>
      <c r="K51" s="88">
        <v>-75.20100000000001</v>
      </c>
      <c r="M51" s="89"/>
    </row>
    <row r="52" spans="1:13" ht="15" customHeight="1">
      <c r="A52" s="86"/>
      <c r="C52" s="87" t="s">
        <v>122</v>
      </c>
      <c r="I52" s="87" t="s">
        <v>110</v>
      </c>
      <c r="K52" s="88">
        <v>-48.2415</v>
      </c>
      <c r="M52" s="89"/>
    </row>
    <row r="53" spans="1:64" ht="15" customHeight="1">
      <c r="A53" s="65" t="s">
        <v>123</v>
      </c>
      <c r="B53" s="66" t="s">
        <v>124</v>
      </c>
      <c r="C53" s="150" t="s">
        <v>125</v>
      </c>
      <c r="D53" s="150"/>
      <c r="E53" s="150"/>
      <c r="F53" s="150"/>
      <c r="G53" s="150"/>
      <c r="H53" s="150"/>
      <c r="I53" s="150"/>
      <c r="J53" s="66" t="s">
        <v>79</v>
      </c>
      <c r="K53" s="83">
        <v>309.1</v>
      </c>
      <c r="L53" s="108"/>
      <c r="M53" s="84">
        <f>K53*L53</f>
        <v>0</v>
      </c>
      <c r="Z53" s="83">
        <f>IF(AQ53="5",BJ53,0)</f>
        <v>0</v>
      </c>
      <c r="AB53" s="83">
        <f>IF(AQ53="1",BH53,0)</f>
        <v>0</v>
      </c>
      <c r="AC53" s="83">
        <f>IF(AQ53="1",BI53,0)</f>
        <v>0</v>
      </c>
      <c r="AD53" s="83">
        <f>IF(AQ53="7",BH53,0)</f>
        <v>0</v>
      </c>
      <c r="AE53" s="83">
        <f>IF(AQ53="7",BI53,0)</f>
        <v>0</v>
      </c>
      <c r="AF53" s="83">
        <f>IF(AQ53="2",BH53,0)</f>
        <v>0</v>
      </c>
      <c r="AG53" s="83">
        <f>IF(AQ53="2",BI53,0)</f>
        <v>0</v>
      </c>
      <c r="AH53" s="83">
        <f>IF(AQ53="0",BJ53,0)</f>
        <v>0</v>
      </c>
      <c r="AI53" s="72" t="s">
        <v>49</v>
      </c>
      <c r="AJ53" s="83">
        <f>IF(AN53=0,M53,0)</f>
        <v>0</v>
      </c>
      <c r="AK53" s="83">
        <f>IF(AN53=15,M53,0)</f>
        <v>0</v>
      </c>
      <c r="AL53" s="83">
        <f>IF(AN53=21,M53,0)</f>
        <v>0</v>
      </c>
      <c r="AN53" s="83">
        <v>21</v>
      </c>
      <c r="AO53" s="83">
        <f>L53*0</f>
        <v>0</v>
      </c>
      <c r="AP53" s="83">
        <f>L53*(1-0)</f>
        <v>0</v>
      </c>
      <c r="AQ53" s="85" t="s">
        <v>52</v>
      </c>
      <c r="AV53" s="83">
        <f>AW53+AX53</f>
        <v>0</v>
      </c>
      <c r="AW53" s="83">
        <f>K53*AO53</f>
        <v>0</v>
      </c>
      <c r="AX53" s="83">
        <f>K53*AP53</f>
        <v>0</v>
      </c>
      <c r="AY53" s="85" t="s">
        <v>56</v>
      </c>
      <c r="AZ53" s="85" t="s">
        <v>57</v>
      </c>
      <c r="BA53" s="72" t="s">
        <v>58</v>
      </c>
      <c r="BC53" s="83">
        <f>AW53+AX53</f>
        <v>0</v>
      </c>
      <c r="BD53" s="83">
        <f>L53/(100-BE53)*100</f>
        <v>0</v>
      </c>
      <c r="BE53" s="83">
        <v>0</v>
      </c>
      <c r="BF53" s="83">
        <f>53</f>
        <v>53</v>
      </c>
      <c r="BH53" s="83">
        <f>K53*AO53</f>
        <v>0</v>
      </c>
      <c r="BI53" s="83">
        <f>K53*AP53</f>
        <v>0</v>
      </c>
      <c r="BJ53" s="83">
        <f>K53*L53</f>
        <v>0</v>
      </c>
      <c r="BK53" s="83"/>
      <c r="BL53" s="83">
        <v>11</v>
      </c>
    </row>
    <row r="54" spans="1:13" ht="15" customHeight="1">
      <c r="A54" s="86"/>
      <c r="C54" s="87" t="s">
        <v>126</v>
      </c>
      <c r="I54" s="87" t="s">
        <v>127</v>
      </c>
      <c r="K54" s="88">
        <v>272</v>
      </c>
      <c r="M54" s="89"/>
    </row>
    <row r="55" spans="1:13" ht="15" customHeight="1">
      <c r="A55" s="86"/>
      <c r="C55" s="87" t="s">
        <v>128</v>
      </c>
      <c r="I55" s="87" t="s">
        <v>129</v>
      </c>
      <c r="K55" s="88">
        <v>97.00000000000001</v>
      </c>
      <c r="M55" s="89"/>
    </row>
    <row r="56" spans="1:13" ht="15" customHeight="1">
      <c r="A56" s="86"/>
      <c r="C56" s="87" t="s">
        <v>130</v>
      </c>
      <c r="I56" s="87" t="s">
        <v>88</v>
      </c>
      <c r="K56" s="88">
        <v>-42.900000000000006</v>
      </c>
      <c r="M56" s="89"/>
    </row>
    <row r="57" spans="1:13" ht="15" customHeight="1">
      <c r="A57" s="86"/>
      <c r="C57" s="87" t="s">
        <v>131</v>
      </c>
      <c r="I57" s="87" t="s">
        <v>90</v>
      </c>
      <c r="K57" s="88">
        <v>-17</v>
      </c>
      <c r="M57" s="89"/>
    </row>
    <row r="58" spans="1:64" ht="15" customHeight="1">
      <c r="A58" s="65" t="s">
        <v>132</v>
      </c>
      <c r="B58" s="66" t="s">
        <v>133</v>
      </c>
      <c r="C58" s="150" t="s">
        <v>134</v>
      </c>
      <c r="D58" s="150"/>
      <c r="E58" s="150"/>
      <c r="F58" s="150"/>
      <c r="G58" s="150"/>
      <c r="H58" s="150"/>
      <c r="I58" s="150"/>
      <c r="J58" s="66" t="s">
        <v>79</v>
      </c>
      <c r="K58" s="83">
        <v>336.5</v>
      </c>
      <c r="L58" s="108"/>
      <c r="M58" s="84">
        <f>K58*L58</f>
        <v>0</v>
      </c>
      <c r="Z58" s="83">
        <f>IF(AQ58="5",BJ58,0)</f>
        <v>0</v>
      </c>
      <c r="AB58" s="83">
        <f>IF(AQ58="1",BH58,0)</f>
        <v>0</v>
      </c>
      <c r="AC58" s="83">
        <f>IF(AQ58="1",BI58,0)</f>
        <v>0</v>
      </c>
      <c r="AD58" s="83">
        <f>IF(AQ58="7",BH58,0)</f>
        <v>0</v>
      </c>
      <c r="AE58" s="83">
        <f>IF(AQ58="7",BI58,0)</f>
        <v>0</v>
      </c>
      <c r="AF58" s="83">
        <f>IF(AQ58="2",BH58,0)</f>
        <v>0</v>
      </c>
      <c r="AG58" s="83">
        <f>IF(AQ58="2",BI58,0)</f>
        <v>0</v>
      </c>
      <c r="AH58" s="83">
        <f>IF(AQ58="0",BJ58,0)</f>
        <v>0</v>
      </c>
      <c r="AI58" s="72" t="s">
        <v>49</v>
      </c>
      <c r="AJ58" s="83">
        <f>IF(AN58=0,M58,0)</f>
        <v>0</v>
      </c>
      <c r="AK58" s="83">
        <f>IF(AN58=15,M58,0)</f>
        <v>0</v>
      </c>
      <c r="AL58" s="83">
        <f>IF(AN58=21,M58,0)</f>
        <v>0</v>
      </c>
      <c r="AN58" s="83">
        <v>21</v>
      </c>
      <c r="AO58" s="83">
        <f>L58*0</f>
        <v>0</v>
      </c>
      <c r="AP58" s="83">
        <f>L58*(1-0)</f>
        <v>0</v>
      </c>
      <c r="AQ58" s="85" t="s">
        <v>52</v>
      </c>
      <c r="AV58" s="83">
        <f>AW58+AX58</f>
        <v>0</v>
      </c>
      <c r="AW58" s="83">
        <f>K58*AO58</f>
        <v>0</v>
      </c>
      <c r="AX58" s="83">
        <f>K58*AP58</f>
        <v>0</v>
      </c>
      <c r="AY58" s="85" t="s">
        <v>56</v>
      </c>
      <c r="AZ58" s="85" t="s">
        <v>57</v>
      </c>
      <c r="BA58" s="72" t="s">
        <v>58</v>
      </c>
      <c r="BC58" s="83">
        <f>AW58+AX58</f>
        <v>0</v>
      </c>
      <c r="BD58" s="83">
        <f>L58/(100-BE58)*100</f>
        <v>0</v>
      </c>
      <c r="BE58" s="83">
        <v>0</v>
      </c>
      <c r="BF58" s="83">
        <f>58</f>
        <v>58</v>
      </c>
      <c r="BH58" s="83">
        <f>K58*AO58</f>
        <v>0</v>
      </c>
      <c r="BI58" s="83">
        <f>K58*AP58</f>
        <v>0</v>
      </c>
      <c r="BJ58" s="83">
        <f>K58*L58</f>
        <v>0</v>
      </c>
      <c r="BK58" s="83"/>
      <c r="BL58" s="83">
        <v>11</v>
      </c>
    </row>
    <row r="59" spans="1:13" ht="15" customHeight="1">
      <c r="A59" s="86"/>
      <c r="C59" s="87" t="s">
        <v>135</v>
      </c>
      <c r="I59" s="87" t="s">
        <v>136</v>
      </c>
      <c r="K59" s="88">
        <v>447.00000000000006</v>
      </c>
      <c r="M59" s="89"/>
    </row>
    <row r="60" spans="1:13" ht="15" customHeight="1">
      <c r="A60" s="86"/>
      <c r="C60" s="87" t="s">
        <v>137</v>
      </c>
      <c r="I60" s="87" t="s">
        <v>138</v>
      </c>
      <c r="K60" s="88">
        <v>12.500000000000002</v>
      </c>
      <c r="M60" s="89"/>
    </row>
    <row r="61" spans="1:13" ht="15" customHeight="1">
      <c r="A61" s="86"/>
      <c r="C61" s="87" t="s">
        <v>139</v>
      </c>
      <c r="I61" s="87" t="s">
        <v>88</v>
      </c>
      <c r="K61" s="88">
        <v>-88.00000000000001</v>
      </c>
      <c r="M61" s="89"/>
    </row>
    <row r="62" spans="1:13" ht="15" customHeight="1">
      <c r="A62" s="86"/>
      <c r="C62" s="87" t="s">
        <v>140</v>
      </c>
      <c r="I62" s="87" t="s">
        <v>90</v>
      </c>
      <c r="K62" s="88">
        <v>-35</v>
      </c>
      <c r="M62" s="89"/>
    </row>
    <row r="63" spans="1:13" ht="27" customHeight="1">
      <c r="A63" s="86"/>
      <c r="B63" s="90" t="s">
        <v>60</v>
      </c>
      <c r="C63" s="161" t="s">
        <v>141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3"/>
    </row>
    <row r="64" spans="1:64" ht="15" customHeight="1">
      <c r="A64" s="65" t="s">
        <v>142</v>
      </c>
      <c r="B64" s="66" t="s">
        <v>143</v>
      </c>
      <c r="C64" s="150" t="s">
        <v>144</v>
      </c>
      <c r="D64" s="150"/>
      <c r="E64" s="150"/>
      <c r="F64" s="150"/>
      <c r="G64" s="150"/>
      <c r="H64" s="150"/>
      <c r="I64" s="150"/>
      <c r="J64" s="66" t="s">
        <v>79</v>
      </c>
      <c r="K64" s="83">
        <v>93</v>
      </c>
      <c r="L64" s="108"/>
      <c r="M64" s="84">
        <f>K64*L64</f>
        <v>0</v>
      </c>
      <c r="Z64" s="83">
        <f>IF(AQ64="5",BJ64,0)</f>
        <v>0</v>
      </c>
      <c r="AB64" s="83">
        <f>IF(AQ64="1",BH64,0)</f>
        <v>0</v>
      </c>
      <c r="AC64" s="83">
        <f>IF(AQ64="1",BI64,0)</f>
        <v>0</v>
      </c>
      <c r="AD64" s="83">
        <f>IF(AQ64="7",BH64,0)</f>
        <v>0</v>
      </c>
      <c r="AE64" s="83">
        <f>IF(AQ64="7",BI64,0)</f>
        <v>0</v>
      </c>
      <c r="AF64" s="83">
        <f>IF(AQ64="2",BH64,0)</f>
        <v>0</v>
      </c>
      <c r="AG64" s="83">
        <f>IF(AQ64="2",BI64,0)</f>
        <v>0</v>
      </c>
      <c r="AH64" s="83">
        <f>IF(AQ64="0",BJ64,0)</f>
        <v>0</v>
      </c>
      <c r="AI64" s="72" t="s">
        <v>49</v>
      </c>
      <c r="AJ64" s="83">
        <f>IF(AN64=0,M64,0)</f>
        <v>0</v>
      </c>
      <c r="AK64" s="83">
        <f>IF(AN64=15,M64,0)</f>
        <v>0</v>
      </c>
      <c r="AL64" s="83">
        <f>IF(AN64=21,M64,0)</f>
        <v>0</v>
      </c>
      <c r="AN64" s="83">
        <v>21</v>
      </c>
      <c r="AO64" s="83">
        <f>L64*0</f>
        <v>0</v>
      </c>
      <c r="AP64" s="83">
        <f>L64*(1-0)</f>
        <v>0</v>
      </c>
      <c r="AQ64" s="85" t="s">
        <v>52</v>
      </c>
      <c r="AV64" s="83">
        <f>AW64+AX64</f>
        <v>0</v>
      </c>
      <c r="AW64" s="83">
        <f>K64*AO64</f>
        <v>0</v>
      </c>
      <c r="AX64" s="83">
        <f>K64*AP64</f>
        <v>0</v>
      </c>
      <c r="AY64" s="85" t="s">
        <v>56</v>
      </c>
      <c r="AZ64" s="85" t="s">
        <v>57</v>
      </c>
      <c r="BA64" s="72" t="s">
        <v>58</v>
      </c>
      <c r="BC64" s="83">
        <f>AW64+AX64</f>
        <v>0</v>
      </c>
      <c r="BD64" s="83">
        <f>L64/(100-BE64)*100</f>
        <v>0</v>
      </c>
      <c r="BE64" s="83">
        <v>0</v>
      </c>
      <c r="BF64" s="83">
        <f>64</f>
        <v>64</v>
      </c>
      <c r="BH64" s="83">
        <f>K64*AO64</f>
        <v>0</v>
      </c>
      <c r="BI64" s="83">
        <f>K64*AP64</f>
        <v>0</v>
      </c>
      <c r="BJ64" s="83">
        <f>K64*L64</f>
        <v>0</v>
      </c>
      <c r="BK64" s="83"/>
      <c r="BL64" s="83">
        <v>11</v>
      </c>
    </row>
    <row r="65" spans="1:13" ht="15" customHeight="1">
      <c r="A65" s="86"/>
      <c r="C65" s="87" t="s">
        <v>145</v>
      </c>
      <c r="I65" s="87" t="s">
        <v>49</v>
      </c>
      <c r="K65" s="88">
        <v>93.00000000000001</v>
      </c>
      <c r="M65" s="89"/>
    </row>
    <row r="66" spans="1:64" ht="15" customHeight="1">
      <c r="A66" s="65" t="s">
        <v>146</v>
      </c>
      <c r="B66" s="66" t="s">
        <v>147</v>
      </c>
      <c r="C66" s="150" t="s">
        <v>148</v>
      </c>
      <c r="D66" s="150"/>
      <c r="E66" s="150"/>
      <c r="F66" s="150"/>
      <c r="G66" s="150"/>
      <c r="H66" s="150"/>
      <c r="I66" s="150"/>
      <c r="J66" s="66" t="s">
        <v>79</v>
      </c>
      <c r="K66" s="83">
        <v>87</v>
      </c>
      <c r="L66" s="108"/>
      <c r="M66" s="84">
        <f>K66*L66</f>
        <v>0</v>
      </c>
      <c r="Z66" s="83">
        <f>IF(AQ66="5",BJ66,0)</f>
        <v>0</v>
      </c>
      <c r="AB66" s="83">
        <f>IF(AQ66="1",BH66,0)</f>
        <v>0</v>
      </c>
      <c r="AC66" s="83">
        <f>IF(AQ66="1",BI66,0)</f>
        <v>0</v>
      </c>
      <c r="AD66" s="83">
        <f>IF(AQ66="7",BH66,0)</f>
        <v>0</v>
      </c>
      <c r="AE66" s="83">
        <f>IF(AQ66="7",BI66,0)</f>
        <v>0</v>
      </c>
      <c r="AF66" s="83">
        <f>IF(AQ66="2",BH66,0)</f>
        <v>0</v>
      </c>
      <c r="AG66" s="83">
        <f>IF(AQ66="2",BI66,0)</f>
        <v>0</v>
      </c>
      <c r="AH66" s="83">
        <f>IF(AQ66="0",BJ66,0)</f>
        <v>0</v>
      </c>
      <c r="AI66" s="72" t="s">
        <v>49</v>
      </c>
      <c r="AJ66" s="83">
        <f>IF(AN66=0,M66,0)</f>
        <v>0</v>
      </c>
      <c r="AK66" s="83">
        <f>IF(AN66=15,M66,0)</f>
        <v>0</v>
      </c>
      <c r="AL66" s="83">
        <f>IF(AN66=21,M66,0)</f>
        <v>0</v>
      </c>
      <c r="AN66" s="83">
        <v>21</v>
      </c>
      <c r="AO66" s="83">
        <f>L66*0</f>
        <v>0</v>
      </c>
      <c r="AP66" s="83">
        <f>L66*(1-0)</f>
        <v>0</v>
      </c>
      <c r="AQ66" s="85" t="s">
        <v>52</v>
      </c>
      <c r="AV66" s="83">
        <f>AW66+AX66</f>
        <v>0</v>
      </c>
      <c r="AW66" s="83">
        <f>K66*AO66</f>
        <v>0</v>
      </c>
      <c r="AX66" s="83">
        <f>K66*AP66</f>
        <v>0</v>
      </c>
      <c r="AY66" s="85" t="s">
        <v>56</v>
      </c>
      <c r="AZ66" s="85" t="s">
        <v>57</v>
      </c>
      <c r="BA66" s="72" t="s">
        <v>58</v>
      </c>
      <c r="BC66" s="83">
        <f>AW66+AX66</f>
        <v>0</v>
      </c>
      <c r="BD66" s="83">
        <f>L66/(100-BE66)*100</f>
        <v>0</v>
      </c>
      <c r="BE66" s="83">
        <v>0</v>
      </c>
      <c r="BF66" s="83">
        <f>66</f>
        <v>66</v>
      </c>
      <c r="BH66" s="83">
        <f>K66*AO66</f>
        <v>0</v>
      </c>
      <c r="BI66" s="83">
        <f>K66*AP66</f>
        <v>0</v>
      </c>
      <c r="BJ66" s="83">
        <f>K66*L66</f>
        <v>0</v>
      </c>
      <c r="BK66" s="83"/>
      <c r="BL66" s="83">
        <v>11</v>
      </c>
    </row>
    <row r="67" spans="1:13" ht="15" customHeight="1">
      <c r="A67" s="86"/>
      <c r="C67" s="87" t="s">
        <v>149</v>
      </c>
      <c r="I67" s="87" t="s">
        <v>49</v>
      </c>
      <c r="K67" s="88">
        <v>87.00000000000001</v>
      </c>
      <c r="M67" s="89"/>
    </row>
    <row r="68" spans="1:13" ht="40.5" customHeight="1">
      <c r="A68" s="86"/>
      <c r="B68" s="90" t="s">
        <v>60</v>
      </c>
      <c r="C68" s="161" t="s">
        <v>150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3"/>
    </row>
    <row r="69" spans="1:64" ht="15" customHeight="1">
      <c r="A69" s="65" t="s">
        <v>151</v>
      </c>
      <c r="B69" s="66" t="s">
        <v>152</v>
      </c>
      <c r="C69" s="150" t="s">
        <v>153</v>
      </c>
      <c r="D69" s="150"/>
      <c r="E69" s="150"/>
      <c r="F69" s="150"/>
      <c r="G69" s="150"/>
      <c r="H69" s="150"/>
      <c r="I69" s="150"/>
      <c r="J69" s="66" t="s">
        <v>79</v>
      </c>
      <c r="K69" s="83">
        <v>114</v>
      </c>
      <c r="L69" s="108"/>
      <c r="M69" s="84">
        <f>K69*L69</f>
        <v>0</v>
      </c>
      <c r="Z69" s="83">
        <f>IF(AQ69="5",BJ69,0)</f>
        <v>0</v>
      </c>
      <c r="AB69" s="83">
        <f>IF(AQ69="1",BH69,0)</f>
        <v>0</v>
      </c>
      <c r="AC69" s="83">
        <f>IF(AQ69="1",BI69,0)</f>
        <v>0</v>
      </c>
      <c r="AD69" s="83">
        <f>IF(AQ69="7",BH69,0)</f>
        <v>0</v>
      </c>
      <c r="AE69" s="83">
        <f>IF(AQ69="7",BI69,0)</f>
        <v>0</v>
      </c>
      <c r="AF69" s="83">
        <f>IF(AQ69="2",BH69,0)</f>
        <v>0</v>
      </c>
      <c r="AG69" s="83">
        <f>IF(AQ69="2",BI69,0)</f>
        <v>0</v>
      </c>
      <c r="AH69" s="83">
        <f>IF(AQ69="0",BJ69,0)</f>
        <v>0</v>
      </c>
      <c r="AI69" s="72" t="s">
        <v>49</v>
      </c>
      <c r="AJ69" s="83">
        <f>IF(AN69=0,M69,0)</f>
        <v>0</v>
      </c>
      <c r="AK69" s="83">
        <f>IF(AN69=15,M69,0)</f>
        <v>0</v>
      </c>
      <c r="AL69" s="83">
        <f>IF(AN69=21,M69,0)</f>
        <v>0</v>
      </c>
      <c r="AN69" s="83">
        <v>21</v>
      </c>
      <c r="AO69" s="83">
        <f>L69*0</f>
        <v>0</v>
      </c>
      <c r="AP69" s="83">
        <f>L69*(1-0)</f>
        <v>0</v>
      </c>
      <c r="AQ69" s="85" t="s">
        <v>52</v>
      </c>
      <c r="AV69" s="83">
        <f>AW69+AX69</f>
        <v>0</v>
      </c>
      <c r="AW69" s="83">
        <f>K69*AO69</f>
        <v>0</v>
      </c>
      <c r="AX69" s="83">
        <f>K69*AP69</f>
        <v>0</v>
      </c>
      <c r="AY69" s="85" t="s">
        <v>56</v>
      </c>
      <c r="AZ69" s="85" t="s">
        <v>57</v>
      </c>
      <c r="BA69" s="72" t="s">
        <v>58</v>
      </c>
      <c r="BC69" s="83">
        <f>AW69+AX69</f>
        <v>0</v>
      </c>
      <c r="BD69" s="83">
        <f>L69/(100-BE69)*100</f>
        <v>0</v>
      </c>
      <c r="BE69" s="83">
        <v>0</v>
      </c>
      <c r="BF69" s="83">
        <f>69</f>
        <v>69</v>
      </c>
      <c r="BH69" s="83">
        <f>K69*AO69</f>
        <v>0</v>
      </c>
      <c r="BI69" s="83">
        <f>K69*AP69</f>
        <v>0</v>
      </c>
      <c r="BJ69" s="83">
        <f>K69*L69</f>
        <v>0</v>
      </c>
      <c r="BK69" s="83"/>
      <c r="BL69" s="83">
        <v>11</v>
      </c>
    </row>
    <row r="70" spans="1:13" ht="15" customHeight="1">
      <c r="A70" s="86"/>
      <c r="C70" s="87" t="s">
        <v>154</v>
      </c>
      <c r="I70" s="87" t="s">
        <v>155</v>
      </c>
      <c r="K70" s="88">
        <v>114.00000000000001</v>
      </c>
      <c r="M70" s="89"/>
    </row>
    <row r="71" spans="1:13" ht="40.5" customHeight="1">
      <c r="A71" s="86"/>
      <c r="B71" s="90" t="s">
        <v>60</v>
      </c>
      <c r="C71" s="161" t="s">
        <v>150</v>
      </c>
      <c r="D71" s="162"/>
      <c r="E71" s="162"/>
      <c r="F71" s="162"/>
      <c r="G71" s="162"/>
      <c r="H71" s="162"/>
      <c r="I71" s="162"/>
      <c r="J71" s="162"/>
      <c r="K71" s="162"/>
      <c r="L71" s="162"/>
      <c r="M71" s="163"/>
    </row>
    <row r="72" spans="1:64" ht="15" customHeight="1">
      <c r="A72" s="65" t="s">
        <v>156</v>
      </c>
      <c r="B72" s="66" t="s">
        <v>157</v>
      </c>
      <c r="C72" s="150" t="s">
        <v>158</v>
      </c>
      <c r="D72" s="150"/>
      <c r="E72" s="150"/>
      <c r="F72" s="150"/>
      <c r="G72" s="150"/>
      <c r="H72" s="150"/>
      <c r="I72" s="150"/>
      <c r="J72" s="66" t="s">
        <v>79</v>
      </c>
      <c r="K72" s="83">
        <v>114</v>
      </c>
      <c r="L72" s="108"/>
      <c r="M72" s="84">
        <f>K72*L72</f>
        <v>0</v>
      </c>
      <c r="Z72" s="83">
        <f>IF(AQ72="5",BJ72,0)</f>
        <v>0</v>
      </c>
      <c r="AB72" s="83">
        <f>IF(AQ72="1",BH72,0)</f>
        <v>0</v>
      </c>
      <c r="AC72" s="83">
        <f>IF(AQ72="1",BI72,0)</f>
        <v>0</v>
      </c>
      <c r="AD72" s="83">
        <f>IF(AQ72="7",BH72,0)</f>
        <v>0</v>
      </c>
      <c r="AE72" s="83">
        <f>IF(AQ72="7",BI72,0)</f>
        <v>0</v>
      </c>
      <c r="AF72" s="83">
        <f>IF(AQ72="2",BH72,0)</f>
        <v>0</v>
      </c>
      <c r="AG72" s="83">
        <f>IF(AQ72="2",BI72,0)</f>
        <v>0</v>
      </c>
      <c r="AH72" s="83">
        <f>IF(AQ72="0",BJ72,0)</f>
        <v>0</v>
      </c>
      <c r="AI72" s="72" t="s">
        <v>49</v>
      </c>
      <c r="AJ72" s="83">
        <f>IF(AN72=0,M72,0)</f>
        <v>0</v>
      </c>
      <c r="AK72" s="83">
        <f>IF(AN72=15,M72,0)</f>
        <v>0</v>
      </c>
      <c r="AL72" s="83">
        <f>IF(AN72=21,M72,0)</f>
        <v>0</v>
      </c>
      <c r="AN72" s="83">
        <v>21</v>
      </c>
      <c r="AO72" s="83">
        <f>L72*0</f>
        <v>0</v>
      </c>
      <c r="AP72" s="83">
        <f>L72*(1-0)</f>
        <v>0</v>
      </c>
      <c r="AQ72" s="85" t="s">
        <v>52</v>
      </c>
      <c r="AV72" s="83">
        <f>AW72+AX72</f>
        <v>0</v>
      </c>
      <c r="AW72" s="83">
        <f>K72*AO72</f>
        <v>0</v>
      </c>
      <c r="AX72" s="83">
        <f>K72*AP72</f>
        <v>0</v>
      </c>
      <c r="AY72" s="85" t="s">
        <v>56</v>
      </c>
      <c r="AZ72" s="85" t="s">
        <v>57</v>
      </c>
      <c r="BA72" s="72" t="s">
        <v>58</v>
      </c>
      <c r="BC72" s="83">
        <f>AW72+AX72</f>
        <v>0</v>
      </c>
      <c r="BD72" s="83">
        <f>L72/(100-BE72)*100</f>
        <v>0</v>
      </c>
      <c r="BE72" s="83">
        <v>0</v>
      </c>
      <c r="BF72" s="83">
        <f>72</f>
        <v>72</v>
      </c>
      <c r="BH72" s="83">
        <f>K72*AO72</f>
        <v>0</v>
      </c>
      <c r="BI72" s="83">
        <f>K72*AP72</f>
        <v>0</v>
      </c>
      <c r="BJ72" s="83">
        <f>K72*L72</f>
        <v>0</v>
      </c>
      <c r="BK72" s="83"/>
      <c r="BL72" s="83">
        <v>11</v>
      </c>
    </row>
    <row r="73" spans="1:13" ht="15" customHeight="1">
      <c r="A73" s="86"/>
      <c r="C73" s="87" t="s">
        <v>154</v>
      </c>
      <c r="I73" s="87" t="s">
        <v>159</v>
      </c>
      <c r="K73" s="88">
        <v>114.00000000000001</v>
      </c>
      <c r="M73" s="89"/>
    </row>
    <row r="74" spans="1:13" ht="54" customHeight="1">
      <c r="A74" s="86"/>
      <c r="B74" s="90" t="s">
        <v>60</v>
      </c>
      <c r="C74" s="161" t="s">
        <v>160</v>
      </c>
      <c r="D74" s="162"/>
      <c r="E74" s="162"/>
      <c r="F74" s="162"/>
      <c r="G74" s="162"/>
      <c r="H74" s="162"/>
      <c r="I74" s="162"/>
      <c r="J74" s="162"/>
      <c r="K74" s="162"/>
      <c r="L74" s="162"/>
      <c r="M74" s="163"/>
    </row>
    <row r="75" spans="1:64" ht="15" customHeight="1">
      <c r="A75" s="65" t="s">
        <v>161</v>
      </c>
      <c r="B75" s="66" t="s">
        <v>162</v>
      </c>
      <c r="C75" s="150" t="s">
        <v>163</v>
      </c>
      <c r="D75" s="150"/>
      <c r="E75" s="150"/>
      <c r="F75" s="150"/>
      <c r="G75" s="150"/>
      <c r="H75" s="150"/>
      <c r="I75" s="150"/>
      <c r="J75" s="66" t="s">
        <v>79</v>
      </c>
      <c r="K75" s="83">
        <v>85</v>
      </c>
      <c r="L75" s="108"/>
      <c r="M75" s="84">
        <f>K75*L75</f>
        <v>0</v>
      </c>
      <c r="Z75" s="83">
        <f>IF(AQ75="5",BJ75,0)</f>
        <v>0</v>
      </c>
      <c r="AB75" s="83">
        <f>IF(AQ75="1",BH75,0)</f>
        <v>0</v>
      </c>
      <c r="AC75" s="83">
        <f>IF(AQ75="1",BI75,0)</f>
        <v>0</v>
      </c>
      <c r="AD75" s="83">
        <f>IF(AQ75="7",BH75,0)</f>
        <v>0</v>
      </c>
      <c r="AE75" s="83">
        <f>IF(AQ75="7",BI75,0)</f>
        <v>0</v>
      </c>
      <c r="AF75" s="83">
        <f>IF(AQ75="2",BH75,0)</f>
        <v>0</v>
      </c>
      <c r="AG75" s="83">
        <f>IF(AQ75="2",BI75,0)</f>
        <v>0</v>
      </c>
      <c r="AH75" s="83">
        <f>IF(AQ75="0",BJ75,0)</f>
        <v>0</v>
      </c>
      <c r="AI75" s="72" t="s">
        <v>49</v>
      </c>
      <c r="AJ75" s="83">
        <f>IF(AN75=0,M75,0)</f>
        <v>0</v>
      </c>
      <c r="AK75" s="83">
        <f>IF(AN75=15,M75,0)</f>
        <v>0</v>
      </c>
      <c r="AL75" s="83">
        <f>IF(AN75=21,M75,0)</f>
        <v>0</v>
      </c>
      <c r="AN75" s="83">
        <v>21</v>
      </c>
      <c r="AO75" s="83">
        <f>L75*0</f>
        <v>0</v>
      </c>
      <c r="AP75" s="83">
        <f>L75*(1-0)</f>
        <v>0</v>
      </c>
      <c r="AQ75" s="85" t="s">
        <v>52</v>
      </c>
      <c r="AV75" s="83">
        <f>AW75+AX75</f>
        <v>0</v>
      </c>
      <c r="AW75" s="83">
        <f>K75*AO75</f>
        <v>0</v>
      </c>
      <c r="AX75" s="83">
        <f>K75*AP75</f>
        <v>0</v>
      </c>
      <c r="AY75" s="85" t="s">
        <v>56</v>
      </c>
      <c r="AZ75" s="85" t="s">
        <v>57</v>
      </c>
      <c r="BA75" s="72" t="s">
        <v>58</v>
      </c>
      <c r="BC75" s="83">
        <f>AW75+AX75</f>
        <v>0</v>
      </c>
      <c r="BD75" s="83">
        <f>L75/(100-BE75)*100</f>
        <v>0</v>
      </c>
      <c r="BE75" s="83">
        <v>0</v>
      </c>
      <c r="BF75" s="83">
        <f>75</f>
        <v>75</v>
      </c>
      <c r="BH75" s="83">
        <f>K75*AO75</f>
        <v>0</v>
      </c>
      <c r="BI75" s="83">
        <f>K75*AP75</f>
        <v>0</v>
      </c>
      <c r="BJ75" s="83">
        <f>K75*L75</f>
        <v>0</v>
      </c>
      <c r="BK75" s="83"/>
      <c r="BL75" s="83">
        <v>11</v>
      </c>
    </row>
    <row r="76" spans="1:13" ht="15" customHeight="1">
      <c r="A76" s="86"/>
      <c r="C76" s="87" t="s">
        <v>164</v>
      </c>
      <c r="I76" s="87" t="s">
        <v>49</v>
      </c>
      <c r="K76" s="88">
        <v>85</v>
      </c>
      <c r="M76" s="89"/>
    </row>
    <row r="77" spans="1:13" ht="27" customHeight="1">
      <c r="A77" s="86"/>
      <c r="B77" s="90" t="s">
        <v>60</v>
      </c>
      <c r="C77" s="161" t="s">
        <v>165</v>
      </c>
      <c r="D77" s="162"/>
      <c r="E77" s="162"/>
      <c r="F77" s="162"/>
      <c r="G77" s="162"/>
      <c r="H77" s="162"/>
      <c r="I77" s="162"/>
      <c r="J77" s="162"/>
      <c r="K77" s="162"/>
      <c r="L77" s="162"/>
      <c r="M77" s="163"/>
    </row>
    <row r="78" spans="1:64" ht="15" customHeight="1">
      <c r="A78" s="65" t="s">
        <v>166</v>
      </c>
      <c r="B78" s="66" t="s">
        <v>167</v>
      </c>
      <c r="C78" s="150" t="s">
        <v>168</v>
      </c>
      <c r="D78" s="150"/>
      <c r="E78" s="150"/>
      <c r="F78" s="150"/>
      <c r="G78" s="150"/>
      <c r="H78" s="150"/>
      <c r="I78" s="150"/>
      <c r="J78" s="66" t="s">
        <v>79</v>
      </c>
      <c r="K78" s="83">
        <v>2064.864</v>
      </c>
      <c r="L78" s="108"/>
      <c r="M78" s="84">
        <f>K78*L78</f>
        <v>0</v>
      </c>
      <c r="Z78" s="83">
        <f>IF(AQ78="5",BJ78,0)</f>
        <v>0</v>
      </c>
      <c r="AB78" s="83">
        <f>IF(AQ78="1",BH78,0)</f>
        <v>0</v>
      </c>
      <c r="AC78" s="83">
        <f>IF(AQ78="1",BI78,0)</f>
        <v>0</v>
      </c>
      <c r="AD78" s="83">
        <f>IF(AQ78="7",BH78,0)</f>
        <v>0</v>
      </c>
      <c r="AE78" s="83">
        <f>IF(AQ78="7",BI78,0)</f>
        <v>0</v>
      </c>
      <c r="AF78" s="83">
        <f>IF(AQ78="2",BH78,0)</f>
        <v>0</v>
      </c>
      <c r="AG78" s="83">
        <f>IF(AQ78="2",BI78,0)</f>
        <v>0</v>
      </c>
      <c r="AH78" s="83">
        <f>IF(AQ78="0",BJ78,0)</f>
        <v>0</v>
      </c>
      <c r="AI78" s="72" t="s">
        <v>49</v>
      </c>
      <c r="AJ78" s="83">
        <f>IF(AN78=0,M78,0)</f>
        <v>0</v>
      </c>
      <c r="AK78" s="83">
        <f>IF(AN78=15,M78,0)</f>
        <v>0</v>
      </c>
      <c r="AL78" s="83">
        <f>IF(AN78=21,M78,0)</f>
        <v>0</v>
      </c>
      <c r="AN78" s="83">
        <v>21</v>
      </c>
      <c r="AO78" s="83">
        <f>L78*0</f>
        <v>0</v>
      </c>
      <c r="AP78" s="83">
        <f>L78*(1-0)</f>
        <v>0</v>
      </c>
      <c r="AQ78" s="85" t="s">
        <v>52</v>
      </c>
      <c r="AV78" s="83">
        <f>AW78+AX78</f>
        <v>0</v>
      </c>
      <c r="AW78" s="83">
        <f>K78*AO78</f>
        <v>0</v>
      </c>
      <c r="AX78" s="83">
        <f>K78*AP78</f>
        <v>0</v>
      </c>
      <c r="AY78" s="85" t="s">
        <v>56</v>
      </c>
      <c r="AZ78" s="85" t="s">
        <v>57</v>
      </c>
      <c r="BA78" s="72" t="s">
        <v>58</v>
      </c>
      <c r="BC78" s="83">
        <f>AW78+AX78</f>
        <v>0</v>
      </c>
      <c r="BD78" s="83">
        <f>L78/(100-BE78)*100</f>
        <v>0</v>
      </c>
      <c r="BE78" s="83">
        <v>0</v>
      </c>
      <c r="BF78" s="83">
        <f>78</f>
        <v>78</v>
      </c>
      <c r="BH78" s="83">
        <f>K78*AO78</f>
        <v>0</v>
      </c>
      <c r="BI78" s="83">
        <f>K78*AP78</f>
        <v>0</v>
      </c>
      <c r="BJ78" s="83">
        <f>K78*L78</f>
        <v>0</v>
      </c>
      <c r="BK78" s="83"/>
      <c r="BL78" s="83">
        <v>11</v>
      </c>
    </row>
    <row r="79" spans="1:13" ht="15" customHeight="1">
      <c r="A79" s="86"/>
      <c r="C79" s="87" t="s">
        <v>169</v>
      </c>
      <c r="I79" s="87" t="s">
        <v>170</v>
      </c>
      <c r="K79" s="88">
        <v>2835.0000000000005</v>
      </c>
      <c r="M79" s="89"/>
    </row>
    <row r="80" spans="1:13" ht="15" customHeight="1">
      <c r="A80" s="86"/>
      <c r="C80" s="87" t="s">
        <v>171</v>
      </c>
      <c r="I80" s="87" t="s">
        <v>172</v>
      </c>
      <c r="K80" s="88">
        <v>288</v>
      </c>
      <c r="M80" s="89"/>
    </row>
    <row r="81" spans="1:13" ht="15" customHeight="1">
      <c r="A81" s="86"/>
      <c r="C81" s="87" t="s">
        <v>173</v>
      </c>
      <c r="I81" s="87" t="s">
        <v>88</v>
      </c>
      <c r="K81" s="88">
        <v>-692.403</v>
      </c>
      <c r="M81" s="89"/>
    </row>
    <row r="82" spans="1:13" ht="15" customHeight="1">
      <c r="A82" s="86"/>
      <c r="C82" s="87" t="s">
        <v>174</v>
      </c>
      <c r="I82" s="87" t="s">
        <v>90</v>
      </c>
      <c r="K82" s="88">
        <v>-365.733</v>
      </c>
      <c r="M82" s="89"/>
    </row>
    <row r="83" spans="1:13" ht="40.5" customHeight="1">
      <c r="A83" s="86"/>
      <c r="B83" s="90" t="s">
        <v>60</v>
      </c>
      <c r="C83" s="161" t="s">
        <v>175</v>
      </c>
      <c r="D83" s="162"/>
      <c r="E83" s="162"/>
      <c r="F83" s="162"/>
      <c r="G83" s="162"/>
      <c r="H83" s="162"/>
      <c r="I83" s="162"/>
      <c r="J83" s="162"/>
      <c r="K83" s="162"/>
      <c r="L83" s="162"/>
      <c r="M83" s="163"/>
    </row>
    <row r="84" spans="1:64" ht="15" customHeight="1">
      <c r="A84" s="65" t="s">
        <v>176</v>
      </c>
      <c r="B84" s="66" t="s">
        <v>177</v>
      </c>
      <c r="C84" s="150" t="s">
        <v>178</v>
      </c>
      <c r="D84" s="150"/>
      <c r="E84" s="150"/>
      <c r="F84" s="150"/>
      <c r="G84" s="150"/>
      <c r="H84" s="150"/>
      <c r="I84" s="150"/>
      <c r="J84" s="66" t="s">
        <v>79</v>
      </c>
      <c r="K84" s="83">
        <v>936.6</v>
      </c>
      <c r="L84" s="108"/>
      <c r="M84" s="84">
        <f>K84*L84</f>
        <v>0</v>
      </c>
      <c r="Z84" s="83">
        <f>IF(AQ84="5",BJ84,0)</f>
        <v>0</v>
      </c>
      <c r="AB84" s="83">
        <f>IF(AQ84="1",BH84,0)</f>
        <v>0</v>
      </c>
      <c r="AC84" s="83">
        <f>IF(AQ84="1",BI84,0)</f>
        <v>0</v>
      </c>
      <c r="AD84" s="83">
        <f>IF(AQ84="7",BH84,0)</f>
        <v>0</v>
      </c>
      <c r="AE84" s="83">
        <f>IF(AQ84="7",BI84,0)</f>
        <v>0</v>
      </c>
      <c r="AF84" s="83">
        <f>IF(AQ84="2",BH84,0)</f>
        <v>0</v>
      </c>
      <c r="AG84" s="83">
        <f>IF(AQ84="2",BI84,0)</f>
        <v>0</v>
      </c>
      <c r="AH84" s="83">
        <f>IF(AQ84="0",BJ84,0)</f>
        <v>0</v>
      </c>
      <c r="AI84" s="72" t="s">
        <v>49</v>
      </c>
      <c r="AJ84" s="83">
        <f>IF(AN84=0,M84,0)</f>
        <v>0</v>
      </c>
      <c r="AK84" s="83">
        <f>IF(AN84=15,M84,0)</f>
        <v>0</v>
      </c>
      <c r="AL84" s="83">
        <f>IF(AN84=21,M84,0)</f>
        <v>0</v>
      </c>
      <c r="AN84" s="83">
        <v>21</v>
      </c>
      <c r="AO84" s="83">
        <f>L84*0</f>
        <v>0</v>
      </c>
      <c r="AP84" s="83">
        <f>L84*(1-0)</f>
        <v>0</v>
      </c>
      <c r="AQ84" s="85" t="s">
        <v>52</v>
      </c>
      <c r="AV84" s="83">
        <f>AW84+AX84</f>
        <v>0</v>
      </c>
      <c r="AW84" s="83">
        <f>K84*AO84</f>
        <v>0</v>
      </c>
      <c r="AX84" s="83">
        <f>K84*AP84</f>
        <v>0</v>
      </c>
      <c r="AY84" s="85" t="s">
        <v>56</v>
      </c>
      <c r="AZ84" s="85" t="s">
        <v>57</v>
      </c>
      <c r="BA84" s="72" t="s">
        <v>58</v>
      </c>
      <c r="BC84" s="83">
        <f>AW84+AX84</f>
        <v>0</v>
      </c>
      <c r="BD84" s="83">
        <f>L84/(100-BE84)*100</f>
        <v>0</v>
      </c>
      <c r="BE84" s="83">
        <v>0</v>
      </c>
      <c r="BF84" s="83">
        <f>84</f>
        <v>84</v>
      </c>
      <c r="BH84" s="83">
        <f>K84*AO84</f>
        <v>0</v>
      </c>
      <c r="BI84" s="83">
        <f>K84*AP84</f>
        <v>0</v>
      </c>
      <c r="BJ84" s="83">
        <f>K84*L84</f>
        <v>0</v>
      </c>
      <c r="BK84" s="83"/>
      <c r="BL84" s="83">
        <v>11</v>
      </c>
    </row>
    <row r="85" spans="1:13" ht="15" customHeight="1">
      <c r="A85" s="86"/>
      <c r="C85" s="87" t="s">
        <v>179</v>
      </c>
      <c r="I85" s="87" t="s">
        <v>180</v>
      </c>
      <c r="K85" s="88">
        <v>1119.5</v>
      </c>
      <c r="M85" s="89"/>
    </row>
    <row r="86" spans="1:13" ht="15" customHeight="1">
      <c r="A86" s="86"/>
      <c r="C86" s="87" t="s">
        <v>181</v>
      </c>
      <c r="I86" s="87" t="s">
        <v>88</v>
      </c>
      <c r="K86" s="88">
        <v>-130.9</v>
      </c>
      <c r="M86" s="89"/>
    </row>
    <row r="87" spans="1:13" ht="15" customHeight="1">
      <c r="A87" s="86"/>
      <c r="C87" s="87" t="s">
        <v>182</v>
      </c>
      <c r="I87" s="87" t="s">
        <v>90</v>
      </c>
      <c r="K87" s="88">
        <v>-52.00000000000001</v>
      </c>
      <c r="M87" s="89"/>
    </row>
    <row r="88" spans="1:13" ht="40.5" customHeight="1">
      <c r="A88" s="86"/>
      <c r="B88" s="90" t="s">
        <v>60</v>
      </c>
      <c r="C88" s="161" t="s">
        <v>175</v>
      </c>
      <c r="D88" s="162"/>
      <c r="E88" s="162"/>
      <c r="F88" s="162"/>
      <c r="G88" s="162"/>
      <c r="H88" s="162"/>
      <c r="I88" s="162"/>
      <c r="J88" s="162"/>
      <c r="K88" s="162"/>
      <c r="L88" s="162"/>
      <c r="M88" s="163"/>
    </row>
    <row r="89" spans="1:64" ht="15" customHeight="1">
      <c r="A89" s="65" t="s">
        <v>183</v>
      </c>
      <c r="B89" s="66" t="s">
        <v>184</v>
      </c>
      <c r="C89" s="150" t="s">
        <v>185</v>
      </c>
      <c r="D89" s="150"/>
      <c r="E89" s="150"/>
      <c r="F89" s="150"/>
      <c r="G89" s="150"/>
      <c r="H89" s="150"/>
      <c r="I89" s="150"/>
      <c r="J89" s="66" t="s">
        <v>79</v>
      </c>
      <c r="K89" s="83">
        <v>82</v>
      </c>
      <c r="L89" s="108"/>
      <c r="M89" s="84">
        <f>K89*L89</f>
        <v>0</v>
      </c>
      <c r="Z89" s="83">
        <f>IF(AQ89="5",BJ89,0)</f>
        <v>0</v>
      </c>
      <c r="AB89" s="83">
        <f>IF(AQ89="1",BH89,0)</f>
        <v>0</v>
      </c>
      <c r="AC89" s="83">
        <f>IF(AQ89="1",BI89,0)</f>
        <v>0</v>
      </c>
      <c r="AD89" s="83">
        <f>IF(AQ89="7",BH89,0)</f>
        <v>0</v>
      </c>
      <c r="AE89" s="83">
        <f>IF(AQ89="7",BI89,0)</f>
        <v>0</v>
      </c>
      <c r="AF89" s="83">
        <f>IF(AQ89="2",BH89,0)</f>
        <v>0</v>
      </c>
      <c r="AG89" s="83">
        <f>IF(AQ89="2",BI89,0)</f>
        <v>0</v>
      </c>
      <c r="AH89" s="83">
        <f>IF(AQ89="0",BJ89,0)</f>
        <v>0</v>
      </c>
      <c r="AI89" s="72" t="s">
        <v>49</v>
      </c>
      <c r="AJ89" s="83">
        <f>IF(AN89=0,M89,0)</f>
        <v>0</v>
      </c>
      <c r="AK89" s="83">
        <f>IF(AN89=15,M89,0)</f>
        <v>0</v>
      </c>
      <c r="AL89" s="83">
        <f>IF(AN89=21,M89,0)</f>
        <v>0</v>
      </c>
      <c r="AN89" s="83">
        <v>21</v>
      </c>
      <c r="AO89" s="83">
        <f>L89*0</f>
        <v>0</v>
      </c>
      <c r="AP89" s="83">
        <f>L89*(1-0)</f>
        <v>0</v>
      </c>
      <c r="AQ89" s="85" t="s">
        <v>52</v>
      </c>
      <c r="AV89" s="83">
        <f>AW89+AX89</f>
        <v>0</v>
      </c>
      <c r="AW89" s="83">
        <f>K89*AO89</f>
        <v>0</v>
      </c>
      <c r="AX89" s="83">
        <f>K89*AP89</f>
        <v>0</v>
      </c>
      <c r="AY89" s="85" t="s">
        <v>56</v>
      </c>
      <c r="AZ89" s="85" t="s">
        <v>57</v>
      </c>
      <c r="BA89" s="72" t="s">
        <v>58</v>
      </c>
      <c r="BC89" s="83">
        <f>AW89+AX89</f>
        <v>0</v>
      </c>
      <c r="BD89" s="83">
        <f>L89/(100-BE89)*100</f>
        <v>0</v>
      </c>
      <c r="BE89" s="83">
        <v>0</v>
      </c>
      <c r="BF89" s="83">
        <f>89</f>
        <v>89</v>
      </c>
      <c r="BH89" s="83">
        <f>K89*AO89</f>
        <v>0</v>
      </c>
      <c r="BI89" s="83">
        <f>K89*AP89</f>
        <v>0</v>
      </c>
      <c r="BJ89" s="83">
        <f>K89*L89</f>
        <v>0</v>
      </c>
      <c r="BK89" s="83"/>
      <c r="BL89" s="83">
        <v>11</v>
      </c>
    </row>
    <row r="90" spans="1:13" ht="15" customHeight="1">
      <c r="A90" s="86"/>
      <c r="C90" s="87" t="s">
        <v>186</v>
      </c>
      <c r="I90" s="87" t="s">
        <v>187</v>
      </c>
      <c r="K90" s="88">
        <v>82</v>
      </c>
      <c r="M90" s="89"/>
    </row>
    <row r="91" spans="1:13" ht="40.5" customHeight="1">
      <c r="A91" s="86"/>
      <c r="B91" s="90" t="s">
        <v>60</v>
      </c>
      <c r="C91" s="161" t="s">
        <v>175</v>
      </c>
      <c r="D91" s="162"/>
      <c r="E91" s="162"/>
      <c r="F91" s="162"/>
      <c r="G91" s="162"/>
      <c r="H91" s="162"/>
      <c r="I91" s="162"/>
      <c r="J91" s="162"/>
      <c r="K91" s="162"/>
      <c r="L91" s="162"/>
      <c r="M91" s="163"/>
    </row>
    <row r="92" spans="1:64" ht="15" customHeight="1">
      <c r="A92" s="65" t="s">
        <v>188</v>
      </c>
      <c r="B92" s="66" t="s">
        <v>189</v>
      </c>
      <c r="C92" s="150" t="s">
        <v>190</v>
      </c>
      <c r="D92" s="150"/>
      <c r="E92" s="150"/>
      <c r="F92" s="150"/>
      <c r="G92" s="150"/>
      <c r="H92" s="150"/>
      <c r="I92" s="150"/>
      <c r="J92" s="66" t="s">
        <v>191</v>
      </c>
      <c r="K92" s="83">
        <v>566</v>
      </c>
      <c r="L92" s="108"/>
      <c r="M92" s="84">
        <f>K92*L92</f>
        <v>0</v>
      </c>
      <c r="Z92" s="83">
        <f>IF(AQ92="5",BJ92,0)</f>
        <v>0</v>
      </c>
      <c r="AB92" s="83">
        <f>IF(AQ92="1",BH92,0)</f>
        <v>0</v>
      </c>
      <c r="AC92" s="83">
        <f>IF(AQ92="1",BI92,0)</f>
        <v>0</v>
      </c>
      <c r="AD92" s="83">
        <f>IF(AQ92="7",BH92,0)</f>
        <v>0</v>
      </c>
      <c r="AE92" s="83">
        <f>IF(AQ92="7",BI92,0)</f>
        <v>0</v>
      </c>
      <c r="AF92" s="83">
        <f>IF(AQ92="2",BH92,0)</f>
        <v>0</v>
      </c>
      <c r="AG92" s="83">
        <f>IF(AQ92="2",BI92,0)</f>
        <v>0</v>
      </c>
      <c r="AH92" s="83">
        <f>IF(AQ92="0",BJ92,0)</f>
        <v>0</v>
      </c>
      <c r="AI92" s="72" t="s">
        <v>49</v>
      </c>
      <c r="AJ92" s="83">
        <f>IF(AN92=0,M92,0)</f>
        <v>0</v>
      </c>
      <c r="AK92" s="83">
        <f>IF(AN92=15,M92,0)</f>
        <v>0</v>
      </c>
      <c r="AL92" s="83">
        <f>IF(AN92=21,M92,0)</f>
        <v>0</v>
      </c>
      <c r="AN92" s="83">
        <v>21</v>
      </c>
      <c r="AO92" s="83">
        <f>L92*0</f>
        <v>0</v>
      </c>
      <c r="AP92" s="83">
        <f>L92*(1-0)</f>
        <v>0</v>
      </c>
      <c r="AQ92" s="85" t="s">
        <v>52</v>
      </c>
      <c r="AV92" s="83">
        <f>AW92+AX92</f>
        <v>0</v>
      </c>
      <c r="AW92" s="83">
        <f>K92*AO92</f>
        <v>0</v>
      </c>
      <c r="AX92" s="83">
        <f>K92*AP92</f>
        <v>0</v>
      </c>
      <c r="AY92" s="85" t="s">
        <v>56</v>
      </c>
      <c r="AZ92" s="85" t="s">
        <v>57</v>
      </c>
      <c r="BA92" s="72" t="s">
        <v>58</v>
      </c>
      <c r="BC92" s="83">
        <f>AW92+AX92</f>
        <v>0</v>
      </c>
      <c r="BD92" s="83">
        <f>L92/(100-BE92)*100</f>
        <v>0</v>
      </c>
      <c r="BE92" s="83">
        <v>0</v>
      </c>
      <c r="BF92" s="83">
        <f>92</f>
        <v>92</v>
      </c>
      <c r="BH92" s="83">
        <f>K92*AO92</f>
        <v>0</v>
      </c>
      <c r="BI92" s="83">
        <f>K92*AP92</f>
        <v>0</v>
      </c>
      <c r="BJ92" s="83">
        <f>K92*L92</f>
        <v>0</v>
      </c>
      <c r="BK92" s="83"/>
      <c r="BL92" s="83">
        <v>11</v>
      </c>
    </row>
    <row r="93" spans="1:13" ht="15" customHeight="1">
      <c r="A93" s="86"/>
      <c r="C93" s="87" t="s">
        <v>192</v>
      </c>
      <c r="I93" s="87" t="s">
        <v>193</v>
      </c>
      <c r="K93" s="88">
        <v>444.00000000000006</v>
      </c>
      <c r="M93" s="89"/>
    </row>
    <row r="94" spans="1:13" ht="15" customHeight="1">
      <c r="A94" s="86"/>
      <c r="C94" s="87" t="s">
        <v>194</v>
      </c>
      <c r="I94" s="87" t="s">
        <v>195</v>
      </c>
      <c r="K94" s="88">
        <v>122.00000000000001</v>
      </c>
      <c r="M94" s="89"/>
    </row>
    <row r="95" spans="1:64" ht="15" customHeight="1">
      <c r="A95" s="65" t="s">
        <v>196</v>
      </c>
      <c r="B95" s="66" t="s">
        <v>197</v>
      </c>
      <c r="C95" s="150" t="s">
        <v>198</v>
      </c>
      <c r="D95" s="150"/>
      <c r="E95" s="150"/>
      <c r="F95" s="150"/>
      <c r="G95" s="150"/>
      <c r="H95" s="150"/>
      <c r="I95" s="150"/>
      <c r="J95" s="66" t="s">
        <v>191</v>
      </c>
      <c r="K95" s="83">
        <v>352</v>
      </c>
      <c r="L95" s="108"/>
      <c r="M95" s="84">
        <f>K95*L95</f>
        <v>0</v>
      </c>
      <c r="Z95" s="83">
        <f>IF(AQ95="5",BJ95,0)</f>
        <v>0</v>
      </c>
      <c r="AB95" s="83">
        <f>IF(AQ95="1",BH95,0)</f>
        <v>0</v>
      </c>
      <c r="AC95" s="83">
        <f>IF(AQ95="1",BI95,0)</f>
        <v>0</v>
      </c>
      <c r="AD95" s="83">
        <f>IF(AQ95="7",BH95,0)</f>
        <v>0</v>
      </c>
      <c r="AE95" s="83">
        <f>IF(AQ95="7",BI95,0)</f>
        <v>0</v>
      </c>
      <c r="AF95" s="83">
        <f>IF(AQ95="2",BH95,0)</f>
        <v>0</v>
      </c>
      <c r="AG95" s="83">
        <f>IF(AQ95="2",BI95,0)</f>
        <v>0</v>
      </c>
      <c r="AH95" s="83">
        <f>IF(AQ95="0",BJ95,0)</f>
        <v>0</v>
      </c>
      <c r="AI95" s="72" t="s">
        <v>49</v>
      </c>
      <c r="AJ95" s="83">
        <f>IF(AN95=0,M95,0)</f>
        <v>0</v>
      </c>
      <c r="AK95" s="83">
        <f>IF(AN95=15,M95,0)</f>
        <v>0</v>
      </c>
      <c r="AL95" s="83">
        <f>IF(AN95=21,M95,0)</f>
        <v>0</v>
      </c>
      <c r="AN95" s="83">
        <v>21</v>
      </c>
      <c r="AO95" s="83">
        <f>L95*0</f>
        <v>0</v>
      </c>
      <c r="AP95" s="83">
        <f>L95*(1-0)</f>
        <v>0</v>
      </c>
      <c r="AQ95" s="85" t="s">
        <v>52</v>
      </c>
      <c r="AV95" s="83">
        <f>AW95+AX95</f>
        <v>0</v>
      </c>
      <c r="AW95" s="83">
        <f>K95*AO95</f>
        <v>0</v>
      </c>
      <c r="AX95" s="83">
        <f>K95*AP95</f>
        <v>0</v>
      </c>
      <c r="AY95" s="85" t="s">
        <v>56</v>
      </c>
      <c r="AZ95" s="85" t="s">
        <v>57</v>
      </c>
      <c r="BA95" s="72" t="s">
        <v>58</v>
      </c>
      <c r="BC95" s="83">
        <f>AW95+AX95</f>
        <v>0</v>
      </c>
      <c r="BD95" s="83">
        <f>L95/(100-BE95)*100</f>
        <v>0</v>
      </c>
      <c r="BE95" s="83">
        <v>0</v>
      </c>
      <c r="BF95" s="83">
        <f>95</f>
        <v>95</v>
      </c>
      <c r="BH95" s="83">
        <f>K95*AO95</f>
        <v>0</v>
      </c>
      <c r="BI95" s="83">
        <f>K95*AP95</f>
        <v>0</v>
      </c>
      <c r="BJ95" s="83">
        <f>K95*L95</f>
        <v>0</v>
      </c>
      <c r="BK95" s="83"/>
      <c r="BL95" s="83">
        <v>11</v>
      </c>
    </row>
    <row r="96" spans="1:13" ht="15" customHeight="1">
      <c r="A96" s="86"/>
      <c r="C96" s="87" t="s">
        <v>199</v>
      </c>
      <c r="I96" s="87" t="s">
        <v>200</v>
      </c>
      <c r="K96" s="88">
        <v>352.00000000000006</v>
      </c>
      <c r="M96" s="89"/>
    </row>
    <row r="97" spans="1:64" ht="15" customHeight="1">
      <c r="A97" s="65" t="s">
        <v>201</v>
      </c>
      <c r="B97" s="66" t="s">
        <v>117</v>
      </c>
      <c r="C97" s="150" t="s">
        <v>202</v>
      </c>
      <c r="D97" s="150"/>
      <c r="E97" s="150"/>
      <c r="F97" s="150"/>
      <c r="G97" s="150"/>
      <c r="H97" s="150"/>
      <c r="I97" s="150"/>
      <c r="J97" s="66" t="s">
        <v>191</v>
      </c>
      <c r="K97" s="83">
        <v>796</v>
      </c>
      <c r="L97" s="108"/>
      <c r="M97" s="84">
        <f>K97*L97</f>
        <v>0</v>
      </c>
      <c r="Z97" s="83">
        <f>IF(AQ97="5",BJ97,0)</f>
        <v>0</v>
      </c>
      <c r="AB97" s="83">
        <f>IF(AQ97="1",BH97,0)</f>
        <v>0</v>
      </c>
      <c r="AC97" s="83">
        <f>IF(AQ97="1",BI97,0)</f>
        <v>0</v>
      </c>
      <c r="AD97" s="83">
        <f>IF(AQ97="7",BH97,0)</f>
        <v>0</v>
      </c>
      <c r="AE97" s="83">
        <f>IF(AQ97="7",BI97,0)</f>
        <v>0</v>
      </c>
      <c r="AF97" s="83">
        <f>IF(AQ97="2",BH97,0)</f>
        <v>0</v>
      </c>
      <c r="AG97" s="83">
        <f>IF(AQ97="2",BI97,0)</f>
        <v>0</v>
      </c>
      <c r="AH97" s="83">
        <f>IF(AQ97="0",BJ97,0)</f>
        <v>0</v>
      </c>
      <c r="AI97" s="72" t="s">
        <v>49</v>
      </c>
      <c r="AJ97" s="83">
        <f>IF(AN97=0,M97,0)</f>
        <v>0</v>
      </c>
      <c r="AK97" s="83">
        <f>IF(AN97=15,M97,0)</f>
        <v>0</v>
      </c>
      <c r="AL97" s="83">
        <f>IF(AN97=21,M97,0)</f>
        <v>0</v>
      </c>
      <c r="AN97" s="83">
        <v>21</v>
      </c>
      <c r="AO97" s="83">
        <f>L97*0</f>
        <v>0</v>
      </c>
      <c r="AP97" s="83">
        <f>L97*(1-0)</f>
        <v>0</v>
      </c>
      <c r="AQ97" s="85" t="s">
        <v>52</v>
      </c>
      <c r="AV97" s="83">
        <f>AW97+AX97</f>
        <v>0</v>
      </c>
      <c r="AW97" s="83">
        <f>K97*AO97</f>
        <v>0</v>
      </c>
      <c r="AX97" s="83">
        <f>K97*AP97</f>
        <v>0</v>
      </c>
      <c r="AY97" s="85" t="s">
        <v>56</v>
      </c>
      <c r="AZ97" s="85" t="s">
        <v>57</v>
      </c>
      <c r="BA97" s="72" t="s">
        <v>58</v>
      </c>
      <c r="BC97" s="83">
        <f>AW97+AX97</f>
        <v>0</v>
      </c>
      <c r="BD97" s="83">
        <f>L97/(100-BE97)*100</f>
        <v>0</v>
      </c>
      <c r="BE97" s="83">
        <v>0</v>
      </c>
      <c r="BF97" s="83">
        <f>97</f>
        <v>97</v>
      </c>
      <c r="BH97" s="83">
        <f>K97*AO97</f>
        <v>0</v>
      </c>
      <c r="BI97" s="83">
        <f>K97*AP97</f>
        <v>0</v>
      </c>
      <c r="BJ97" s="83">
        <f>K97*L97</f>
        <v>0</v>
      </c>
      <c r="BK97" s="83"/>
      <c r="BL97" s="83">
        <v>11</v>
      </c>
    </row>
    <row r="98" spans="1:13" ht="15" customHeight="1">
      <c r="A98" s="86"/>
      <c r="C98" s="87" t="s">
        <v>203</v>
      </c>
      <c r="I98" s="87" t="s">
        <v>49</v>
      </c>
      <c r="K98" s="88">
        <v>796.0000000000001</v>
      </c>
      <c r="M98" s="89"/>
    </row>
    <row r="99" spans="1:64" ht="15" customHeight="1">
      <c r="A99" s="65" t="s">
        <v>204</v>
      </c>
      <c r="B99" s="66" t="s">
        <v>205</v>
      </c>
      <c r="C99" s="150" t="s">
        <v>206</v>
      </c>
      <c r="D99" s="150"/>
      <c r="E99" s="150"/>
      <c r="F99" s="150"/>
      <c r="G99" s="150"/>
      <c r="H99" s="150"/>
      <c r="I99" s="150"/>
      <c r="J99" s="66" t="s">
        <v>55</v>
      </c>
      <c r="K99" s="83">
        <v>13</v>
      </c>
      <c r="L99" s="108"/>
      <c r="M99" s="84">
        <f>K99*L99</f>
        <v>0</v>
      </c>
      <c r="Z99" s="83">
        <f>IF(AQ99="5",BJ99,0)</f>
        <v>0</v>
      </c>
      <c r="AB99" s="83">
        <f>IF(AQ99="1",BH99,0)</f>
        <v>0</v>
      </c>
      <c r="AC99" s="83">
        <f>IF(AQ99="1",BI99,0)</f>
        <v>0</v>
      </c>
      <c r="AD99" s="83">
        <f>IF(AQ99="7",BH99,0)</f>
        <v>0</v>
      </c>
      <c r="AE99" s="83">
        <f>IF(AQ99="7",BI99,0)</f>
        <v>0</v>
      </c>
      <c r="AF99" s="83">
        <f>IF(AQ99="2",BH99,0)</f>
        <v>0</v>
      </c>
      <c r="AG99" s="83">
        <f>IF(AQ99="2",BI99,0)</f>
        <v>0</v>
      </c>
      <c r="AH99" s="83">
        <f>IF(AQ99="0",BJ99,0)</f>
        <v>0</v>
      </c>
      <c r="AI99" s="72" t="s">
        <v>49</v>
      </c>
      <c r="AJ99" s="83">
        <f>IF(AN99=0,M99,0)</f>
        <v>0</v>
      </c>
      <c r="AK99" s="83">
        <f>IF(AN99=15,M99,0)</f>
        <v>0</v>
      </c>
      <c r="AL99" s="83">
        <f>IF(AN99=21,M99,0)</f>
        <v>0</v>
      </c>
      <c r="AN99" s="83">
        <v>21</v>
      </c>
      <c r="AO99" s="83">
        <f>L99*0</f>
        <v>0</v>
      </c>
      <c r="AP99" s="83">
        <f>L99*(1-0)</f>
        <v>0</v>
      </c>
      <c r="AQ99" s="85" t="s">
        <v>52</v>
      </c>
      <c r="AV99" s="83">
        <f>AW99+AX99</f>
        <v>0</v>
      </c>
      <c r="AW99" s="83">
        <f>K99*AO99</f>
        <v>0</v>
      </c>
      <c r="AX99" s="83">
        <f>K99*AP99</f>
        <v>0</v>
      </c>
      <c r="AY99" s="85" t="s">
        <v>56</v>
      </c>
      <c r="AZ99" s="85" t="s">
        <v>57</v>
      </c>
      <c r="BA99" s="72" t="s">
        <v>58</v>
      </c>
      <c r="BC99" s="83">
        <f>AW99+AX99</f>
        <v>0</v>
      </c>
      <c r="BD99" s="83">
        <f>L99/(100-BE99)*100</f>
        <v>0</v>
      </c>
      <c r="BE99" s="83">
        <v>0</v>
      </c>
      <c r="BF99" s="83">
        <f>99</f>
        <v>99</v>
      </c>
      <c r="BH99" s="83">
        <f>K99*AO99</f>
        <v>0</v>
      </c>
      <c r="BI99" s="83">
        <f>K99*AP99</f>
        <v>0</v>
      </c>
      <c r="BJ99" s="83">
        <f>K99*L99</f>
        <v>0</v>
      </c>
      <c r="BK99" s="83"/>
      <c r="BL99" s="83">
        <v>11</v>
      </c>
    </row>
    <row r="100" spans="1:13" ht="15" customHeight="1">
      <c r="A100" s="86"/>
      <c r="C100" s="87" t="s">
        <v>132</v>
      </c>
      <c r="I100" s="87" t="s">
        <v>49</v>
      </c>
      <c r="K100" s="88">
        <v>13.000000000000002</v>
      </c>
      <c r="M100" s="89"/>
    </row>
    <row r="101" spans="1:13" ht="27" customHeight="1">
      <c r="A101" s="86"/>
      <c r="B101" s="90" t="s">
        <v>60</v>
      </c>
      <c r="C101" s="161" t="s">
        <v>207</v>
      </c>
      <c r="D101" s="162"/>
      <c r="E101" s="162"/>
      <c r="F101" s="162"/>
      <c r="G101" s="162"/>
      <c r="H101" s="162"/>
      <c r="I101" s="162"/>
      <c r="J101" s="162"/>
      <c r="K101" s="162"/>
      <c r="L101" s="162"/>
      <c r="M101" s="163"/>
    </row>
    <row r="102" spans="1:64" ht="15" customHeight="1">
      <c r="A102" s="65" t="s">
        <v>208</v>
      </c>
      <c r="B102" s="66" t="s">
        <v>209</v>
      </c>
      <c r="C102" s="150" t="s">
        <v>210</v>
      </c>
      <c r="D102" s="150"/>
      <c r="E102" s="150"/>
      <c r="F102" s="150"/>
      <c r="G102" s="150"/>
      <c r="H102" s="150"/>
      <c r="I102" s="150"/>
      <c r="J102" s="66" t="s">
        <v>191</v>
      </c>
      <c r="K102" s="83">
        <v>62</v>
      </c>
      <c r="L102" s="108"/>
      <c r="M102" s="84">
        <f>K102*L102</f>
        <v>0</v>
      </c>
      <c r="Z102" s="83">
        <f>IF(AQ102="5",BJ102,0)</f>
        <v>0</v>
      </c>
      <c r="AB102" s="83">
        <f>IF(AQ102="1",BH102,0)</f>
        <v>0</v>
      </c>
      <c r="AC102" s="83">
        <f>IF(AQ102="1",BI102,0)</f>
        <v>0</v>
      </c>
      <c r="AD102" s="83">
        <f>IF(AQ102="7",BH102,0)</f>
        <v>0</v>
      </c>
      <c r="AE102" s="83">
        <f>IF(AQ102="7",BI102,0)</f>
        <v>0</v>
      </c>
      <c r="AF102" s="83">
        <f>IF(AQ102="2",BH102,0)</f>
        <v>0</v>
      </c>
      <c r="AG102" s="83">
        <f>IF(AQ102="2",BI102,0)</f>
        <v>0</v>
      </c>
      <c r="AH102" s="83">
        <f>IF(AQ102="0",BJ102,0)</f>
        <v>0</v>
      </c>
      <c r="AI102" s="72" t="s">
        <v>49</v>
      </c>
      <c r="AJ102" s="83">
        <f>IF(AN102=0,M102,0)</f>
        <v>0</v>
      </c>
      <c r="AK102" s="83">
        <f>IF(AN102=15,M102,0)</f>
        <v>0</v>
      </c>
      <c r="AL102" s="83">
        <f>IF(AN102=21,M102,0)</f>
        <v>0</v>
      </c>
      <c r="AN102" s="83">
        <v>21</v>
      </c>
      <c r="AO102" s="83">
        <f>L102*0</f>
        <v>0</v>
      </c>
      <c r="AP102" s="83">
        <f>L102*(1-0)</f>
        <v>0</v>
      </c>
      <c r="AQ102" s="85" t="s">
        <v>52</v>
      </c>
      <c r="AV102" s="83">
        <f>AW102+AX102</f>
        <v>0</v>
      </c>
      <c r="AW102" s="83">
        <f>K102*AO102</f>
        <v>0</v>
      </c>
      <c r="AX102" s="83">
        <f>K102*AP102</f>
        <v>0</v>
      </c>
      <c r="AY102" s="85" t="s">
        <v>56</v>
      </c>
      <c r="AZ102" s="85" t="s">
        <v>57</v>
      </c>
      <c r="BA102" s="72" t="s">
        <v>58</v>
      </c>
      <c r="BC102" s="83">
        <f>AW102+AX102</f>
        <v>0</v>
      </c>
      <c r="BD102" s="83">
        <f>L102/(100-BE102)*100</f>
        <v>0</v>
      </c>
      <c r="BE102" s="83">
        <v>0</v>
      </c>
      <c r="BF102" s="83">
        <f>102</f>
        <v>102</v>
      </c>
      <c r="BH102" s="83">
        <f>K102*AO102</f>
        <v>0</v>
      </c>
      <c r="BI102" s="83">
        <f>K102*AP102</f>
        <v>0</v>
      </c>
      <c r="BJ102" s="83">
        <f>K102*L102</f>
        <v>0</v>
      </c>
      <c r="BK102" s="83"/>
      <c r="BL102" s="83">
        <v>11</v>
      </c>
    </row>
    <row r="103" spans="1:13" ht="15" customHeight="1">
      <c r="A103" s="86"/>
      <c r="C103" s="87" t="s">
        <v>211</v>
      </c>
      <c r="I103" s="87" t="s">
        <v>212</v>
      </c>
      <c r="K103" s="88">
        <v>62.00000000000001</v>
      </c>
      <c r="M103" s="89"/>
    </row>
    <row r="104" spans="1:64" ht="15" customHeight="1">
      <c r="A104" s="65" t="s">
        <v>213</v>
      </c>
      <c r="B104" s="66" t="s">
        <v>112</v>
      </c>
      <c r="C104" s="150" t="s">
        <v>214</v>
      </c>
      <c r="D104" s="150"/>
      <c r="E104" s="150"/>
      <c r="F104" s="150"/>
      <c r="G104" s="150"/>
      <c r="H104" s="150"/>
      <c r="I104" s="150"/>
      <c r="J104" s="66" t="s">
        <v>79</v>
      </c>
      <c r="K104" s="83">
        <v>2672</v>
      </c>
      <c r="L104" s="108"/>
      <c r="M104" s="84">
        <f>K104*L104</f>
        <v>0</v>
      </c>
      <c r="Z104" s="83">
        <f>IF(AQ104="5",BJ104,0)</f>
        <v>0</v>
      </c>
      <c r="AB104" s="83">
        <f>IF(AQ104="1",BH104,0)</f>
        <v>0</v>
      </c>
      <c r="AC104" s="83">
        <f>IF(AQ104="1",BI104,0)</f>
        <v>0</v>
      </c>
      <c r="AD104" s="83">
        <f>IF(AQ104="7",BH104,0)</f>
        <v>0</v>
      </c>
      <c r="AE104" s="83">
        <f>IF(AQ104="7",BI104,0)</f>
        <v>0</v>
      </c>
      <c r="AF104" s="83">
        <f>IF(AQ104="2",BH104,0)</f>
        <v>0</v>
      </c>
      <c r="AG104" s="83">
        <f>IF(AQ104="2",BI104,0)</f>
        <v>0</v>
      </c>
      <c r="AH104" s="83">
        <f>IF(AQ104="0",BJ104,0)</f>
        <v>0</v>
      </c>
      <c r="AI104" s="72" t="s">
        <v>49</v>
      </c>
      <c r="AJ104" s="83">
        <f>IF(AN104=0,M104,0)</f>
        <v>0</v>
      </c>
      <c r="AK104" s="83">
        <f>IF(AN104=15,M104,0)</f>
        <v>0</v>
      </c>
      <c r="AL104" s="83">
        <f>IF(AN104=21,M104,0)</f>
        <v>0</v>
      </c>
      <c r="AN104" s="83">
        <v>21</v>
      </c>
      <c r="AO104" s="83">
        <f>L104*0</f>
        <v>0</v>
      </c>
      <c r="AP104" s="83">
        <f>L104*(1-0)</f>
        <v>0</v>
      </c>
      <c r="AQ104" s="85" t="s">
        <v>52</v>
      </c>
      <c r="AV104" s="83">
        <f>AW104+AX104</f>
        <v>0</v>
      </c>
      <c r="AW104" s="83">
        <f>K104*AO104</f>
        <v>0</v>
      </c>
      <c r="AX104" s="83">
        <f>K104*AP104</f>
        <v>0</v>
      </c>
      <c r="AY104" s="85" t="s">
        <v>56</v>
      </c>
      <c r="AZ104" s="85" t="s">
        <v>57</v>
      </c>
      <c r="BA104" s="72" t="s">
        <v>58</v>
      </c>
      <c r="BC104" s="83">
        <f>AW104+AX104</f>
        <v>0</v>
      </c>
      <c r="BD104" s="83">
        <f>L104/(100-BE104)*100</f>
        <v>0</v>
      </c>
      <c r="BE104" s="83">
        <v>0</v>
      </c>
      <c r="BF104" s="83">
        <f>104</f>
        <v>104</v>
      </c>
      <c r="BH104" s="83">
        <f>K104*AO104</f>
        <v>0</v>
      </c>
      <c r="BI104" s="83">
        <f>K104*AP104</f>
        <v>0</v>
      </c>
      <c r="BJ104" s="83">
        <f>K104*L104</f>
        <v>0</v>
      </c>
      <c r="BK104" s="83"/>
      <c r="BL104" s="83">
        <v>11</v>
      </c>
    </row>
    <row r="105" spans="1:13" ht="15" customHeight="1">
      <c r="A105" s="86"/>
      <c r="C105" s="87" t="s">
        <v>104</v>
      </c>
      <c r="I105" s="87" t="s">
        <v>215</v>
      </c>
      <c r="K105" s="88">
        <v>1169</v>
      </c>
      <c r="M105" s="89"/>
    </row>
    <row r="106" spans="1:13" ht="15" customHeight="1">
      <c r="A106" s="86"/>
      <c r="C106" s="87" t="s">
        <v>93</v>
      </c>
      <c r="I106" s="87" t="s">
        <v>216</v>
      </c>
      <c r="K106" s="88">
        <v>1134</v>
      </c>
      <c r="M106" s="89"/>
    </row>
    <row r="107" spans="1:13" ht="15" customHeight="1">
      <c r="A107" s="86"/>
      <c r="C107" s="87" t="s">
        <v>217</v>
      </c>
      <c r="I107" s="87" t="s">
        <v>218</v>
      </c>
      <c r="K107" s="88">
        <v>369.00000000000006</v>
      </c>
      <c r="M107" s="89"/>
    </row>
    <row r="108" spans="1:64" ht="15" customHeight="1">
      <c r="A108" s="65" t="s">
        <v>219</v>
      </c>
      <c r="B108" s="66" t="s">
        <v>220</v>
      </c>
      <c r="C108" s="150" t="s">
        <v>221</v>
      </c>
      <c r="D108" s="150"/>
      <c r="E108" s="150"/>
      <c r="F108" s="150"/>
      <c r="G108" s="150"/>
      <c r="H108" s="150"/>
      <c r="I108" s="150"/>
      <c r="J108" s="66" t="s">
        <v>191</v>
      </c>
      <c r="K108" s="83">
        <v>796</v>
      </c>
      <c r="L108" s="108"/>
      <c r="M108" s="84">
        <f>K108*L108</f>
        <v>0</v>
      </c>
      <c r="Z108" s="83">
        <f>IF(AQ108="5",BJ108,0)</f>
        <v>0</v>
      </c>
      <c r="AB108" s="83">
        <f>IF(AQ108="1",BH108,0)</f>
        <v>0</v>
      </c>
      <c r="AC108" s="83">
        <f>IF(AQ108="1",BI108,0)</f>
        <v>0</v>
      </c>
      <c r="AD108" s="83">
        <f>IF(AQ108="7",BH108,0)</f>
        <v>0</v>
      </c>
      <c r="AE108" s="83">
        <f>IF(AQ108="7",BI108,0)</f>
        <v>0</v>
      </c>
      <c r="AF108" s="83">
        <f>IF(AQ108="2",BH108,0)</f>
        <v>0</v>
      </c>
      <c r="AG108" s="83">
        <f>IF(AQ108="2",BI108,0)</f>
        <v>0</v>
      </c>
      <c r="AH108" s="83">
        <f>IF(AQ108="0",BJ108,0)</f>
        <v>0</v>
      </c>
      <c r="AI108" s="72" t="s">
        <v>49</v>
      </c>
      <c r="AJ108" s="83">
        <f>IF(AN108=0,M108,0)</f>
        <v>0</v>
      </c>
      <c r="AK108" s="83">
        <f>IF(AN108=15,M108,0)</f>
        <v>0</v>
      </c>
      <c r="AL108" s="83">
        <f>IF(AN108=21,M108,0)</f>
        <v>0</v>
      </c>
      <c r="AN108" s="83">
        <v>21</v>
      </c>
      <c r="AO108" s="83">
        <f>L108*0</f>
        <v>0</v>
      </c>
      <c r="AP108" s="83">
        <f>L108*(1-0)</f>
        <v>0</v>
      </c>
      <c r="AQ108" s="85" t="s">
        <v>52</v>
      </c>
      <c r="AV108" s="83">
        <f>AW108+AX108</f>
        <v>0</v>
      </c>
      <c r="AW108" s="83">
        <f>K108*AO108</f>
        <v>0</v>
      </c>
      <c r="AX108" s="83">
        <f>K108*AP108</f>
        <v>0</v>
      </c>
      <c r="AY108" s="85" t="s">
        <v>56</v>
      </c>
      <c r="AZ108" s="85" t="s">
        <v>57</v>
      </c>
      <c r="BA108" s="72" t="s">
        <v>58</v>
      </c>
      <c r="BC108" s="83">
        <f>AW108+AX108</f>
        <v>0</v>
      </c>
      <c r="BD108" s="83">
        <f>L108/(100-BE108)*100</f>
        <v>0</v>
      </c>
      <c r="BE108" s="83">
        <v>0</v>
      </c>
      <c r="BF108" s="83">
        <f>108</f>
        <v>108</v>
      </c>
      <c r="BH108" s="83">
        <f>K108*AO108</f>
        <v>0</v>
      </c>
      <c r="BI108" s="83">
        <f>K108*AP108</f>
        <v>0</v>
      </c>
      <c r="BJ108" s="83">
        <f>K108*L108</f>
        <v>0</v>
      </c>
      <c r="BK108" s="83"/>
      <c r="BL108" s="83">
        <v>11</v>
      </c>
    </row>
    <row r="109" spans="1:13" ht="15" customHeight="1">
      <c r="A109" s="86"/>
      <c r="C109" s="87" t="s">
        <v>203</v>
      </c>
      <c r="I109" s="87" t="s">
        <v>49</v>
      </c>
      <c r="K109" s="88">
        <v>796.0000000000001</v>
      </c>
      <c r="M109" s="89"/>
    </row>
    <row r="110" spans="1:47" ht="15" customHeight="1">
      <c r="A110" s="78" t="s">
        <v>49</v>
      </c>
      <c r="B110" s="79" t="s">
        <v>123</v>
      </c>
      <c r="C110" s="168" t="s">
        <v>222</v>
      </c>
      <c r="D110" s="168"/>
      <c r="E110" s="168"/>
      <c r="F110" s="168"/>
      <c r="G110" s="168"/>
      <c r="H110" s="168"/>
      <c r="I110" s="168"/>
      <c r="J110" s="80" t="s">
        <v>3</v>
      </c>
      <c r="K110" s="80" t="s">
        <v>3</v>
      </c>
      <c r="L110" s="80" t="s">
        <v>3</v>
      </c>
      <c r="M110" s="81">
        <f>SUM(M111:M115)</f>
        <v>0</v>
      </c>
      <c r="AI110" s="72" t="s">
        <v>49</v>
      </c>
      <c r="AS110" s="82">
        <f>SUM(AJ111:AJ115)</f>
        <v>0</v>
      </c>
      <c r="AT110" s="82">
        <f>SUM(AK111:AK115)</f>
        <v>0</v>
      </c>
      <c r="AU110" s="82">
        <f>SUM(AL111:AL115)</f>
        <v>0</v>
      </c>
    </row>
    <row r="111" spans="1:64" ht="15" customHeight="1">
      <c r="A111" s="65" t="s">
        <v>223</v>
      </c>
      <c r="B111" s="66" t="s">
        <v>224</v>
      </c>
      <c r="C111" s="150" t="s">
        <v>225</v>
      </c>
      <c r="D111" s="150"/>
      <c r="E111" s="150"/>
      <c r="F111" s="150"/>
      <c r="G111" s="150"/>
      <c r="H111" s="150"/>
      <c r="I111" s="150"/>
      <c r="J111" s="66" t="s">
        <v>226</v>
      </c>
      <c r="K111" s="83">
        <v>938.35</v>
      </c>
      <c r="L111" s="108"/>
      <c r="M111" s="84">
        <f>K111*L111</f>
        <v>0</v>
      </c>
      <c r="Z111" s="83">
        <f>IF(AQ111="5",BJ111,0)</f>
        <v>0</v>
      </c>
      <c r="AB111" s="83">
        <f>IF(AQ111="1",BH111,0)</f>
        <v>0</v>
      </c>
      <c r="AC111" s="83">
        <f>IF(AQ111="1",BI111,0)</f>
        <v>0</v>
      </c>
      <c r="AD111" s="83">
        <f>IF(AQ111="7",BH111,0)</f>
        <v>0</v>
      </c>
      <c r="AE111" s="83">
        <f>IF(AQ111="7",BI111,0)</f>
        <v>0</v>
      </c>
      <c r="AF111" s="83">
        <f>IF(AQ111="2",BH111,0)</f>
        <v>0</v>
      </c>
      <c r="AG111" s="83">
        <f>IF(AQ111="2",BI111,0)</f>
        <v>0</v>
      </c>
      <c r="AH111" s="83">
        <f>IF(AQ111="0",BJ111,0)</f>
        <v>0</v>
      </c>
      <c r="AI111" s="72" t="s">
        <v>49</v>
      </c>
      <c r="AJ111" s="83">
        <f>IF(AN111=0,M111,0)</f>
        <v>0</v>
      </c>
      <c r="AK111" s="83">
        <f>IF(AN111=15,M111,0)</f>
        <v>0</v>
      </c>
      <c r="AL111" s="83">
        <f>IF(AN111=21,M111,0)</f>
        <v>0</v>
      </c>
      <c r="AN111" s="83">
        <v>21</v>
      </c>
      <c r="AO111" s="83">
        <f>L111*0</f>
        <v>0</v>
      </c>
      <c r="AP111" s="83">
        <f>L111*(1-0)</f>
        <v>0</v>
      </c>
      <c r="AQ111" s="85" t="s">
        <v>52</v>
      </c>
      <c r="AV111" s="83">
        <f>AW111+AX111</f>
        <v>0</v>
      </c>
      <c r="AW111" s="83">
        <f>K111*AO111</f>
        <v>0</v>
      </c>
      <c r="AX111" s="83">
        <f>K111*AP111</f>
        <v>0</v>
      </c>
      <c r="AY111" s="85" t="s">
        <v>227</v>
      </c>
      <c r="AZ111" s="85" t="s">
        <v>57</v>
      </c>
      <c r="BA111" s="72" t="s">
        <v>58</v>
      </c>
      <c r="BC111" s="83">
        <f>AW111+AX111</f>
        <v>0</v>
      </c>
      <c r="BD111" s="83">
        <f>L111/(100-BE111)*100</f>
        <v>0</v>
      </c>
      <c r="BE111" s="83">
        <v>0</v>
      </c>
      <c r="BF111" s="83">
        <f>111</f>
        <v>111</v>
      </c>
      <c r="BH111" s="83">
        <f>K111*AO111</f>
        <v>0</v>
      </c>
      <c r="BI111" s="83">
        <f>K111*AP111</f>
        <v>0</v>
      </c>
      <c r="BJ111" s="83">
        <f>K111*L111</f>
        <v>0</v>
      </c>
      <c r="BK111" s="83"/>
      <c r="BL111" s="83">
        <v>12</v>
      </c>
    </row>
    <row r="112" spans="1:13" ht="15" customHeight="1">
      <c r="A112" s="86"/>
      <c r="C112" s="87" t="s">
        <v>228</v>
      </c>
      <c r="I112" s="87" t="s">
        <v>229</v>
      </c>
      <c r="K112" s="88">
        <v>315</v>
      </c>
      <c r="M112" s="89"/>
    </row>
    <row r="113" spans="1:13" ht="15" customHeight="1">
      <c r="A113" s="86"/>
      <c r="C113" s="87" t="s">
        <v>230</v>
      </c>
      <c r="I113" s="87" t="s">
        <v>231</v>
      </c>
      <c r="K113" s="88">
        <v>433.3</v>
      </c>
      <c r="M113" s="89"/>
    </row>
    <row r="114" spans="1:13" ht="15" customHeight="1">
      <c r="A114" s="86"/>
      <c r="C114" s="87" t="s">
        <v>232</v>
      </c>
      <c r="I114" s="87" t="s">
        <v>233</v>
      </c>
      <c r="K114" s="88">
        <v>190.05</v>
      </c>
      <c r="M114" s="89"/>
    </row>
    <row r="115" spans="1:64" ht="15" customHeight="1">
      <c r="A115" s="65" t="s">
        <v>234</v>
      </c>
      <c r="B115" s="66" t="s">
        <v>235</v>
      </c>
      <c r="C115" s="150" t="s">
        <v>236</v>
      </c>
      <c r="D115" s="150"/>
      <c r="E115" s="150"/>
      <c r="F115" s="150"/>
      <c r="G115" s="150"/>
      <c r="H115" s="150"/>
      <c r="I115" s="150"/>
      <c r="J115" s="66" t="s">
        <v>226</v>
      </c>
      <c r="K115" s="83">
        <v>402.15</v>
      </c>
      <c r="L115" s="108"/>
      <c r="M115" s="84">
        <f>K115*L115</f>
        <v>0</v>
      </c>
      <c r="Z115" s="83">
        <f>IF(AQ115="5",BJ115,0)</f>
        <v>0</v>
      </c>
      <c r="AB115" s="83">
        <f>IF(AQ115="1",BH115,0)</f>
        <v>0</v>
      </c>
      <c r="AC115" s="83">
        <f>IF(AQ115="1",BI115,0)</f>
        <v>0</v>
      </c>
      <c r="AD115" s="83">
        <f>IF(AQ115="7",BH115,0)</f>
        <v>0</v>
      </c>
      <c r="AE115" s="83">
        <f>IF(AQ115="7",BI115,0)</f>
        <v>0</v>
      </c>
      <c r="AF115" s="83">
        <f>IF(AQ115="2",BH115,0)</f>
        <v>0</v>
      </c>
      <c r="AG115" s="83">
        <f>IF(AQ115="2",BI115,0)</f>
        <v>0</v>
      </c>
      <c r="AH115" s="83">
        <f>IF(AQ115="0",BJ115,0)</f>
        <v>0</v>
      </c>
      <c r="AI115" s="72" t="s">
        <v>49</v>
      </c>
      <c r="AJ115" s="83">
        <f>IF(AN115=0,M115,0)</f>
        <v>0</v>
      </c>
      <c r="AK115" s="83">
        <f>IF(AN115=15,M115,0)</f>
        <v>0</v>
      </c>
      <c r="AL115" s="83">
        <f>IF(AN115=21,M115,0)</f>
        <v>0</v>
      </c>
      <c r="AN115" s="83">
        <v>21</v>
      </c>
      <c r="AO115" s="83">
        <f>L115*0</f>
        <v>0</v>
      </c>
      <c r="AP115" s="83">
        <f>L115*(1-0)</f>
        <v>0</v>
      </c>
      <c r="AQ115" s="85" t="s">
        <v>52</v>
      </c>
      <c r="AV115" s="83">
        <f>AW115+AX115</f>
        <v>0</v>
      </c>
      <c r="AW115" s="83">
        <f>K115*AO115</f>
        <v>0</v>
      </c>
      <c r="AX115" s="83">
        <f>K115*AP115</f>
        <v>0</v>
      </c>
      <c r="AY115" s="85" t="s">
        <v>227</v>
      </c>
      <c r="AZ115" s="85" t="s">
        <v>57</v>
      </c>
      <c r="BA115" s="72" t="s">
        <v>58</v>
      </c>
      <c r="BC115" s="83">
        <f>AW115+AX115</f>
        <v>0</v>
      </c>
      <c r="BD115" s="83">
        <f>L115/(100-BE115)*100</f>
        <v>0</v>
      </c>
      <c r="BE115" s="83">
        <v>0</v>
      </c>
      <c r="BF115" s="83">
        <f>115</f>
        <v>115</v>
      </c>
      <c r="BH115" s="83">
        <f>K115*AO115</f>
        <v>0</v>
      </c>
      <c r="BI115" s="83">
        <f>K115*AP115</f>
        <v>0</v>
      </c>
      <c r="BJ115" s="83">
        <f>K115*L115</f>
        <v>0</v>
      </c>
      <c r="BK115" s="83"/>
      <c r="BL115" s="83">
        <v>12</v>
      </c>
    </row>
    <row r="116" spans="1:13" ht="15" customHeight="1">
      <c r="A116" s="86"/>
      <c r="C116" s="87" t="s">
        <v>237</v>
      </c>
      <c r="I116" s="87" t="s">
        <v>238</v>
      </c>
      <c r="K116" s="88">
        <v>135</v>
      </c>
      <c r="M116" s="89"/>
    </row>
    <row r="117" spans="1:13" ht="15" customHeight="1">
      <c r="A117" s="86"/>
      <c r="C117" s="87" t="s">
        <v>239</v>
      </c>
      <c r="I117" s="87" t="s">
        <v>231</v>
      </c>
      <c r="K117" s="88">
        <v>185.70000000000002</v>
      </c>
      <c r="M117" s="89"/>
    </row>
    <row r="118" spans="1:13" ht="15" customHeight="1">
      <c r="A118" s="86"/>
      <c r="C118" s="87" t="s">
        <v>240</v>
      </c>
      <c r="I118" s="87" t="s">
        <v>233</v>
      </c>
      <c r="K118" s="88">
        <v>81.45</v>
      </c>
      <c r="M118" s="89"/>
    </row>
    <row r="119" spans="1:47" ht="15" customHeight="1">
      <c r="A119" s="78" t="s">
        <v>49</v>
      </c>
      <c r="B119" s="79" t="s">
        <v>132</v>
      </c>
      <c r="C119" s="168" t="s">
        <v>241</v>
      </c>
      <c r="D119" s="168"/>
      <c r="E119" s="168"/>
      <c r="F119" s="168"/>
      <c r="G119" s="168"/>
      <c r="H119" s="168"/>
      <c r="I119" s="168"/>
      <c r="J119" s="80" t="s">
        <v>3</v>
      </c>
      <c r="K119" s="80" t="s">
        <v>3</v>
      </c>
      <c r="L119" s="80" t="s">
        <v>3</v>
      </c>
      <c r="M119" s="81">
        <f>SUM(M120:M133)</f>
        <v>0</v>
      </c>
      <c r="AI119" s="72" t="s">
        <v>49</v>
      </c>
      <c r="AS119" s="82">
        <f>SUM(AJ120:AJ133)</f>
        <v>0</v>
      </c>
      <c r="AT119" s="82">
        <f>SUM(AK120:AK133)</f>
        <v>0</v>
      </c>
      <c r="AU119" s="82">
        <f>SUM(AL120:AL133)</f>
        <v>0</v>
      </c>
    </row>
    <row r="120" spans="1:64" ht="15" customHeight="1">
      <c r="A120" s="65" t="s">
        <v>242</v>
      </c>
      <c r="B120" s="66" t="s">
        <v>243</v>
      </c>
      <c r="C120" s="150" t="s">
        <v>244</v>
      </c>
      <c r="D120" s="150"/>
      <c r="E120" s="150"/>
      <c r="F120" s="150"/>
      <c r="G120" s="150"/>
      <c r="H120" s="150"/>
      <c r="I120" s="150"/>
      <c r="J120" s="66" t="s">
        <v>226</v>
      </c>
      <c r="K120" s="83">
        <v>23.1</v>
      </c>
      <c r="L120" s="108"/>
      <c r="M120" s="84">
        <f>K120*L120</f>
        <v>0</v>
      </c>
      <c r="Z120" s="83">
        <f>IF(AQ120="5",BJ120,0)</f>
        <v>0</v>
      </c>
      <c r="AB120" s="83">
        <f>IF(AQ120="1",BH120,0)</f>
        <v>0</v>
      </c>
      <c r="AC120" s="83">
        <f>IF(AQ120="1",BI120,0)</f>
        <v>0</v>
      </c>
      <c r="AD120" s="83">
        <f>IF(AQ120="7",BH120,0)</f>
        <v>0</v>
      </c>
      <c r="AE120" s="83">
        <f>IF(AQ120="7",BI120,0)</f>
        <v>0</v>
      </c>
      <c r="AF120" s="83">
        <f>IF(AQ120="2",BH120,0)</f>
        <v>0</v>
      </c>
      <c r="AG120" s="83">
        <f>IF(AQ120="2",BI120,0)</f>
        <v>0</v>
      </c>
      <c r="AH120" s="83">
        <f>IF(AQ120="0",BJ120,0)</f>
        <v>0</v>
      </c>
      <c r="AI120" s="72" t="s">
        <v>49</v>
      </c>
      <c r="AJ120" s="83">
        <f>IF(AN120=0,M120,0)</f>
        <v>0</v>
      </c>
      <c r="AK120" s="83">
        <f>IF(AN120=15,M120,0)</f>
        <v>0</v>
      </c>
      <c r="AL120" s="83">
        <f>IF(AN120=21,M120,0)</f>
        <v>0</v>
      </c>
      <c r="AN120" s="83">
        <v>21</v>
      </c>
      <c r="AO120" s="83">
        <f>L120*0</f>
        <v>0</v>
      </c>
      <c r="AP120" s="83">
        <f>L120*(1-0)</f>
        <v>0</v>
      </c>
      <c r="AQ120" s="85" t="s">
        <v>52</v>
      </c>
      <c r="AV120" s="83">
        <f>AW120+AX120</f>
        <v>0</v>
      </c>
      <c r="AW120" s="83">
        <f>K120*AO120</f>
        <v>0</v>
      </c>
      <c r="AX120" s="83">
        <f>K120*AP120</f>
        <v>0</v>
      </c>
      <c r="AY120" s="85" t="s">
        <v>245</v>
      </c>
      <c r="AZ120" s="85" t="s">
        <v>57</v>
      </c>
      <c r="BA120" s="72" t="s">
        <v>58</v>
      </c>
      <c r="BC120" s="83">
        <f>AW120+AX120</f>
        <v>0</v>
      </c>
      <c r="BD120" s="83">
        <f>L120/(100-BE120)*100</f>
        <v>0</v>
      </c>
      <c r="BE120" s="83">
        <v>0</v>
      </c>
      <c r="BF120" s="83">
        <f>120</f>
        <v>120</v>
      </c>
      <c r="BH120" s="83">
        <f>K120*AO120</f>
        <v>0</v>
      </c>
      <c r="BI120" s="83">
        <f>K120*AP120</f>
        <v>0</v>
      </c>
      <c r="BJ120" s="83">
        <f>K120*L120</f>
        <v>0</v>
      </c>
      <c r="BK120" s="83"/>
      <c r="BL120" s="83">
        <v>13</v>
      </c>
    </row>
    <row r="121" spans="1:13" ht="15" customHeight="1">
      <c r="A121" s="86"/>
      <c r="C121" s="87" t="s">
        <v>246</v>
      </c>
      <c r="I121" s="87" t="s">
        <v>247</v>
      </c>
      <c r="K121" s="88">
        <v>21.700000000000003</v>
      </c>
      <c r="M121" s="89"/>
    </row>
    <row r="122" spans="1:13" ht="15" customHeight="1">
      <c r="A122" s="86"/>
      <c r="C122" s="87" t="s">
        <v>248</v>
      </c>
      <c r="I122" s="87" t="s">
        <v>249</v>
      </c>
      <c r="K122" s="88">
        <v>1.4000000000000001</v>
      </c>
      <c r="M122" s="89"/>
    </row>
    <row r="123" spans="1:13" ht="54" customHeight="1">
      <c r="A123" s="86"/>
      <c r="B123" s="90" t="s">
        <v>60</v>
      </c>
      <c r="C123" s="161" t="s">
        <v>250</v>
      </c>
      <c r="D123" s="162"/>
      <c r="E123" s="162"/>
      <c r="F123" s="162"/>
      <c r="G123" s="162"/>
      <c r="H123" s="162"/>
      <c r="I123" s="162"/>
      <c r="J123" s="162"/>
      <c r="K123" s="162"/>
      <c r="L123" s="162"/>
      <c r="M123" s="163"/>
    </row>
    <row r="124" spans="1:64" ht="15" customHeight="1">
      <c r="A124" s="65" t="s">
        <v>251</v>
      </c>
      <c r="B124" s="66" t="s">
        <v>252</v>
      </c>
      <c r="C124" s="150" t="s">
        <v>253</v>
      </c>
      <c r="D124" s="150"/>
      <c r="E124" s="150"/>
      <c r="F124" s="150"/>
      <c r="G124" s="150"/>
      <c r="H124" s="150"/>
      <c r="I124" s="150"/>
      <c r="J124" s="66" t="s">
        <v>226</v>
      </c>
      <c r="K124" s="83">
        <v>9.9</v>
      </c>
      <c r="L124" s="108"/>
      <c r="M124" s="84">
        <f>K124*L124</f>
        <v>0</v>
      </c>
      <c r="Z124" s="83">
        <f>IF(AQ124="5",BJ124,0)</f>
        <v>0</v>
      </c>
      <c r="AB124" s="83">
        <f>IF(AQ124="1",BH124,0)</f>
        <v>0</v>
      </c>
      <c r="AC124" s="83">
        <f>IF(AQ124="1",BI124,0)</f>
        <v>0</v>
      </c>
      <c r="AD124" s="83">
        <f>IF(AQ124="7",BH124,0)</f>
        <v>0</v>
      </c>
      <c r="AE124" s="83">
        <f>IF(AQ124="7",BI124,0)</f>
        <v>0</v>
      </c>
      <c r="AF124" s="83">
        <f>IF(AQ124="2",BH124,0)</f>
        <v>0</v>
      </c>
      <c r="AG124" s="83">
        <f>IF(AQ124="2",BI124,0)</f>
        <v>0</v>
      </c>
      <c r="AH124" s="83">
        <f>IF(AQ124="0",BJ124,0)</f>
        <v>0</v>
      </c>
      <c r="AI124" s="72" t="s">
        <v>49</v>
      </c>
      <c r="AJ124" s="83">
        <f>IF(AN124=0,M124,0)</f>
        <v>0</v>
      </c>
      <c r="AK124" s="83">
        <f>IF(AN124=15,M124,0)</f>
        <v>0</v>
      </c>
      <c r="AL124" s="83">
        <f>IF(AN124=21,M124,0)</f>
        <v>0</v>
      </c>
      <c r="AN124" s="83">
        <v>21</v>
      </c>
      <c r="AO124" s="83">
        <f>L124*0</f>
        <v>0</v>
      </c>
      <c r="AP124" s="83">
        <f>L124*(1-0)</f>
        <v>0</v>
      </c>
      <c r="AQ124" s="85" t="s">
        <v>52</v>
      </c>
      <c r="AV124" s="83">
        <f>AW124+AX124</f>
        <v>0</v>
      </c>
      <c r="AW124" s="83">
        <f>K124*AO124</f>
        <v>0</v>
      </c>
      <c r="AX124" s="83">
        <f>K124*AP124</f>
        <v>0</v>
      </c>
      <c r="AY124" s="85" t="s">
        <v>245</v>
      </c>
      <c r="AZ124" s="85" t="s">
        <v>57</v>
      </c>
      <c r="BA124" s="72" t="s">
        <v>58</v>
      </c>
      <c r="BC124" s="83">
        <f>AW124+AX124</f>
        <v>0</v>
      </c>
      <c r="BD124" s="83">
        <f>L124/(100-BE124)*100</f>
        <v>0</v>
      </c>
      <c r="BE124" s="83">
        <v>0</v>
      </c>
      <c r="BF124" s="83">
        <f>124</f>
        <v>124</v>
      </c>
      <c r="BH124" s="83">
        <f>K124*AO124</f>
        <v>0</v>
      </c>
      <c r="BI124" s="83">
        <f>K124*AP124</f>
        <v>0</v>
      </c>
      <c r="BJ124" s="83">
        <f>K124*L124</f>
        <v>0</v>
      </c>
      <c r="BK124" s="83"/>
      <c r="BL124" s="83">
        <v>13</v>
      </c>
    </row>
    <row r="125" spans="1:13" ht="15" customHeight="1">
      <c r="A125" s="86"/>
      <c r="C125" s="87" t="s">
        <v>254</v>
      </c>
      <c r="I125" s="87" t="s">
        <v>247</v>
      </c>
      <c r="K125" s="88">
        <v>9.3</v>
      </c>
      <c r="M125" s="89"/>
    </row>
    <row r="126" spans="1:13" ht="15" customHeight="1">
      <c r="A126" s="86"/>
      <c r="C126" s="87" t="s">
        <v>255</v>
      </c>
      <c r="I126" s="87" t="s">
        <v>249</v>
      </c>
      <c r="K126" s="88">
        <v>0.6000000000000001</v>
      </c>
      <c r="M126" s="89"/>
    </row>
    <row r="127" spans="1:13" ht="54" customHeight="1">
      <c r="A127" s="86"/>
      <c r="B127" s="90" t="s">
        <v>60</v>
      </c>
      <c r="C127" s="161" t="s">
        <v>250</v>
      </c>
      <c r="D127" s="162"/>
      <c r="E127" s="162"/>
      <c r="F127" s="162"/>
      <c r="G127" s="162"/>
      <c r="H127" s="162"/>
      <c r="I127" s="162"/>
      <c r="J127" s="162"/>
      <c r="K127" s="162"/>
      <c r="L127" s="162"/>
      <c r="M127" s="163"/>
    </row>
    <row r="128" spans="1:64" ht="15" customHeight="1">
      <c r="A128" s="65" t="s">
        <v>256</v>
      </c>
      <c r="B128" s="66" t="s">
        <v>257</v>
      </c>
      <c r="C128" s="150" t="s">
        <v>258</v>
      </c>
      <c r="D128" s="150"/>
      <c r="E128" s="150"/>
      <c r="F128" s="150"/>
      <c r="G128" s="150"/>
      <c r="H128" s="150"/>
      <c r="I128" s="150"/>
      <c r="J128" s="66" t="s">
        <v>226</v>
      </c>
      <c r="K128" s="83">
        <v>84.6</v>
      </c>
      <c r="L128" s="108"/>
      <c r="M128" s="84">
        <f>K128*L128</f>
        <v>0</v>
      </c>
      <c r="Z128" s="83">
        <f>IF(AQ128="5",BJ128,0)</f>
        <v>0</v>
      </c>
      <c r="AB128" s="83">
        <f>IF(AQ128="1",BH128,0)</f>
        <v>0</v>
      </c>
      <c r="AC128" s="83">
        <f>IF(AQ128="1",BI128,0)</f>
        <v>0</v>
      </c>
      <c r="AD128" s="83">
        <f>IF(AQ128="7",BH128,0)</f>
        <v>0</v>
      </c>
      <c r="AE128" s="83">
        <f>IF(AQ128="7",BI128,0)</f>
        <v>0</v>
      </c>
      <c r="AF128" s="83">
        <f>IF(AQ128="2",BH128,0)</f>
        <v>0</v>
      </c>
      <c r="AG128" s="83">
        <f>IF(AQ128="2",BI128,0)</f>
        <v>0</v>
      </c>
      <c r="AH128" s="83">
        <f>IF(AQ128="0",BJ128,0)</f>
        <v>0</v>
      </c>
      <c r="AI128" s="72" t="s">
        <v>49</v>
      </c>
      <c r="AJ128" s="83">
        <f>IF(AN128=0,M128,0)</f>
        <v>0</v>
      </c>
      <c r="AK128" s="83">
        <f>IF(AN128=15,M128,0)</f>
        <v>0</v>
      </c>
      <c r="AL128" s="83">
        <f>IF(AN128=21,M128,0)</f>
        <v>0</v>
      </c>
      <c r="AN128" s="83">
        <v>21</v>
      </c>
      <c r="AO128" s="83">
        <f>L128*0</f>
        <v>0</v>
      </c>
      <c r="AP128" s="83">
        <f>L128*(1-0)</f>
        <v>0</v>
      </c>
      <c r="AQ128" s="85" t="s">
        <v>52</v>
      </c>
      <c r="AV128" s="83">
        <f>AW128+AX128</f>
        <v>0</v>
      </c>
      <c r="AW128" s="83">
        <f>K128*AO128</f>
        <v>0</v>
      </c>
      <c r="AX128" s="83">
        <f>K128*AP128</f>
        <v>0</v>
      </c>
      <c r="AY128" s="85" t="s">
        <v>245</v>
      </c>
      <c r="AZ128" s="85" t="s">
        <v>57</v>
      </c>
      <c r="BA128" s="72" t="s">
        <v>58</v>
      </c>
      <c r="BC128" s="83">
        <f>AW128+AX128</f>
        <v>0</v>
      </c>
      <c r="BD128" s="83">
        <f>L128/(100-BE128)*100</f>
        <v>0</v>
      </c>
      <c r="BE128" s="83">
        <v>0</v>
      </c>
      <c r="BF128" s="83">
        <f>128</f>
        <v>128</v>
      </c>
      <c r="BH128" s="83">
        <f>K128*AO128</f>
        <v>0</v>
      </c>
      <c r="BI128" s="83">
        <f>K128*AP128</f>
        <v>0</v>
      </c>
      <c r="BJ128" s="83">
        <f>K128*L128</f>
        <v>0</v>
      </c>
      <c r="BK128" s="83"/>
      <c r="BL128" s="83">
        <v>13</v>
      </c>
    </row>
    <row r="129" spans="1:13" ht="15" customHeight="1">
      <c r="A129" s="86"/>
      <c r="C129" s="87" t="s">
        <v>246</v>
      </c>
      <c r="I129" s="87" t="s">
        <v>259</v>
      </c>
      <c r="K129" s="88">
        <v>21.700000000000003</v>
      </c>
      <c r="M129" s="89"/>
    </row>
    <row r="130" spans="1:13" ht="15" customHeight="1">
      <c r="A130" s="86"/>
      <c r="C130" s="87" t="s">
        <v>260</v>
      </c>
      <c r="I130" s="87" t="s">
        <v>261</v>
      </c>
      <c r="K130" s="88">
        <v>44.1</v>
      </c>
      <c r="M130" s="89"/>
    </row>
    <row r="131" spans="1:13" ht="15" customHeight="1">
      <c r="A131" s="86"/>
      <c r="C131" s="87" t="s">
        <v>262</v>
      </c>
      <c r="I131" s="87" t="s">
        <v>263</v>
      </c>
      <c r="K131" s="88">
        <v>18.8</v>
      </c>
      <c r="M131" s="89"/>
    </row>
    <row r="132" spans="1:13" ht="54" customHeight="1">
      <c r="A132" s="86"/>
      <c r="B132" s="90" t="s">
        <v>60</v>
      </c>
      <c r="C132" s="161" t="s">
        <v>264</v>
      </c>
      <c r="D132" s="162"/>
      <c r="E132" s="162"/>
      <c r="F132" s="162"/>
      <c r="G132" s="162"/>
      <c r="H132" s="162"/>
      <c r="I132" s="162"/>
      <c r="J132" s="162"/>
      <c r="K132" s="162"/>
      <c r="L132" s="162"/>
      <c r="M132" s="163"/>
    </row>
    <row r="133" spans="1:64" ht="15" customHeight="1">
      <c r="A133" s="65" t="s">
        <v>265</v>
      </c>
      <c r="B133" s="66" t="s">
        <v>266</v>
      </c>
      <c r="C133" s="150" t="s">
        <v>267</v>
      </c>
      <c r="D133" s="150"/>
      <c r="E133" s="150"/>
      <c r="F133" s="150"/>
      <c r="G133" s="150"/>
      <c r="H133" s="150"/>
      <c r="I133" s="150"/>
      <c r="J133" s="66" t="s">
        <v>226</v>
      </c>
      <c r="K133" s="83">
        <v>45.4</v>
      </c>
      <c r="L133" s="108"/>
      <c r="M133" s="84">
        <f>K133*L133</f>
        <v>0</v>
      </c>
      <c r="Z133" s="83">
        <f>IF(AQ133="5",BJ133,0)</f>
        <v>0</v>
      </c>
      <c r="AB133" s="83">
        <f>IF(AQ133="1",BH133,0)</f>
        <v>0</v>
      </c>
      <c r="AC133" s="83">
        <f>IF(AQ133="1",BI133,0)</f>
        <v>0</v>
      </c>
      <c r="AD133" s="83">
        <f>IF(AQ133="7",BH133,0)</f>
        <v>0</v>
      </c>
      <c r="AE133" s="83">
        <f>IF(AQ133="7",BI133,0)</f>
        <v>0</v>
      </c>
      <c r="AF133" s="83">
        <f>IF(AQ133="2",BH133,0)</f>
        <v>0</v>
      </c>
      <c r="AG133" s="83">
        <f>IF(AQ133="2",BI133,0)</f>
        <v>0</v>
      </c>
      <c r="AH133" s="83">
        <f>IF(AQ133="0",BJ133,0)</f>
        <v>0</v>
      </c>
      <c r="AI133" s="72" t="s">
        <v>49</v>
      </c>
      <c r="AJ133" s="83">
        <f>IF(AN133=0,M133,0)</f>
        <v>0</v>
      </c>
      <c r="AK133" s="83">
        <f>IF(AN133=15,M133,0)</f>
        <v>0</v>
      </c>
      <c r="AL133" s="83">
        <f>IF(AN133=21,M133,0)</f>
        <v>0</v>
      </c>
      <c r="AN133" s="83">
        <v>21</v>
      </c>
      <c r="AO133" s="83">
        <f>L133*0</f>
        <v>0</v>
      </c>
      <c r="AP133" s="83">
        <f>L133*(1-0)</f>
        <v>0</v>
      </c>
      <c r="AQ133" s="85" t="s">
        <v>52</v>
      </c>
      <c r="AV133" s="83">
        <f>AW133+AX133</f>
        <v>0</v>
      </c>
      <c r="AW133" s="83">
        <f>K133*AO133</f>
        <v>0</v>
      </c>
      <c r="AX133" s="83">
        <f>K133*AP133</f>
        <v>0</v>
      </c>
      <c r="AY133" s="85" t="s">
        <v>245</v>
      </c>
      <c r="AZ133" s="85" t="s">
        <v>57</v>
      </c>
      <c r="BA133" s="72" t="s">
        <v>58</v>
      </c>
      <c r="BC133" s="83">
        <f>AW133+AX133</f>
        <v>0</v>
      </c>
      <c r="BD133" s="83">
        <f>L133/(100-BE133)*100</f>
        <v>0</v>
      </c>
      <c r="BE133" s="83">
        <v>0</v>
      </c>
      <c r="BF133" s="83">
        <f>133</f>
        <v>133</v>
      </c>
      <c r="BH133" s="83">
        <f>K133*AO133</f>
        <v>0</v>
      </c>
      <c r="BI133" s="83">
        <f>K133*AP133</f>
        <v>0</v>
      </c>
      <c r="BJ133" s="83">
        <f>K133*L133</f>
        <v>0</v>
      </c>
      <c r="BK133" s="83"/>
      <c r="BL133" s="83">
        <v>13</v>
      </c>
    </row>
    <row r="134" spans="1:13" ht="15" customHeight="1">
      <c r="A134" s="86"/>
      <c r="C134" s="87" t="s">
        <v>254</v>
      </c>
      <c r="I134" s="87" t="s">
        <v>259</v>
      </c>
      <c r="K134" s="88">
        <v>9.3</v>
      </c>
      <c r="M134" s="89"/>
    </row>
    <row r="135" spans="1:13" ht="15" customHeight="1">
      <c r="A135" s="86"/>
      <c r="C135" s="87" t="s">
        <v>268</v>
      </c>
      <c r="I135" s="87" t="s">
        <v>261</v>
      </c>
      <c r="K135" s="88">
        <v>18.900000000000002</v>
      </c>
      <c r="M135" s="89"/>
    </row>
    <row r="136" spans="1:13" ht="15" customHeight="1">
      <c r="A136" s="86"/>
      <c r="C136" s="87" t="s">
        <v>269</v>
      </c>
      <c r="I136" s="87" t="s">
        <v>263</v>
      </c>
      <c r="K136" s="88">
        <v>17.200000000000003</v>
      </c>
      <c r="M136" s="89"/>
    </row>
    <row r="137" spans="1:13" ht="54" customHeight="1">
      <c r="A137" s="86"/>
      <c r="B137" s="90" t="s">
        <v>60</v>
      </c>
      <c r="C137" s="161" t="s">
        <v>264</v>
      </c>
      <c r="D137" s="162"/>
      <c r="E137" s="162"/>
      <c r="F137" s="162"/>
      <c r="G137" s="162"/>
      <c r="H137" s="162"/>
      <c r="I137" s="162"/>
      <c r="J137" s="162"/>
      <c r="K137" s="162"/>
      <c r="L137" s="162"/>
      <c r="M137" s="163"/>
    </row>
    <row r="138" spans="1:47" ht="15" customHeight="1">
      <c r="A138" s="78" t="s">
        <v>49</v>
      </c>
      <c r="B138" s="79" t="s">
        <v>151</v>
      </c>
      <c r="C138" s="168" t="s">
        <v>270</v>
      </c>
      <c r="D138" s="168"/>
      <c r="E138" s="168"/>
      <c r="F138" s="168"/>
      <c r="G138" s="168"/>
      <c r="H138" s="168"/>
      <c r="I138" s="168"/>
      <c r="J138" s="80" t="s">
        <v>3</v>
      </c>
      <c r="K138" s="80" t="s">
        <v>3</v>
      </c>
      <c r="L138" s="80" t="s">
        <v>3</v>
      </c>
      <c r="M138" s="81">
        <f>SUM(M139:M153)</f>
        <v>0</v>
      </c>
      <c r="AI138" s="72" t="s">
        <v>49</v>
      </c>
      <c r="AS138" s="82">
        <f>SUM(AJ139:AJ153)</f>
        <v>0</v>
      </c>
      <c r="AT138" s="82">
        <f>SUM(AK139:AK153)</f>
        <v>0</v>
      </c>
      <c r="AU138" s="82">
        <f>SUM(AL139:AL153)</f>
        <v>0</v>
      </c>
    </row>
    <row r="139" spans="1:64" ht="15" customHeight="1">
      <c r="A139" s="65" t="s">
        <v>271</v>
      </c>
      <c r="B139" s="66" t="s">
        <v>276</v>
      </c>
      <c r="C139" s="150" t="s">
        <v>277</v>
      </c>
      <c r="D139" s="150"/>
      <c r="E139" s="150"/>
      <c r="F139" s="150"/>
      <c r="G139" s="150"/>
      <c r="H139" s="150"/>
      <c r="I139" s="150"/>
      <c r="J139" s="66" t="s">
        <v>55</v>
      </c>
      <c r="K139" s="83">
        <v>6</v>
      </c>
      <c r="L139" s="108"/>
      <c r="M139" s="84">
        <f>K139*L139</f>
        <v>0</v>
      </c>
      <c r="Z139" s="83">
        <f>IF(AQ139="5",BJ139,0)</f>
        <v>0</v>
      </c>
      <c r="AB139" s="83">
        <f>IF(AQ139="1",BH139,0)</f>
        <v>0</v>
      </c>
      <c r="AC139" s="83">
        <f>IF(AQ139="1",BI139,0)</f>
        <v>0</v>
      </c>
      <c r="AD139" s="83">
        <f>IF(AQ139="7",BH139,0)</f>
        <v>0</v>
      </c>
      <c r="AE139" s="83">
        <f>IF(AQ139="7",BI139,0)</f>
        <v>0</v>
      </c>
      <c r="AF139" s="83">
        <f>IF(AQ139="2",BH139,0)</f>
        <v>0</v>
      </c>
      <c r="AG139" s="83">
        <f>IF(AQ139="2",BI139,0)</f>
        <v>0</v>
      </c>
      <c r="AH139" s="83">
        <f>IF(AQ139="0",BJ139,0)</f>
        <v>0</v>
      </c>
      <c r="AI139" s="72" t="s">
        <v>49</v>
      </c>
      <c r="AJ139" s="83">
        <f>IF(AN139=0,M139,0)</f>
        <v>0</v>
      </c>
      <c r="AK139" s="83">
        <f>IF(AN139=15,M139,0)</f>
        <v>0</v>
      </c>
      <c r="AL139" s="83">
        <f>IF(AN139=21,M139,0)</f>
        <v>0</v>
      </c>
      <c r="AN139" s="83">
        <v>21</v>
      </c>
      <c r="AO139" s="83">
        <f>L139*0</f>
        <v>0</v>
      </c>
      <c r="AP139" s="83">
        <f>L139*(1-0)</f>
        <v>0</v>
      </c>
      <c r="AQ139" s="85" t="s">
        <v>52</v>
      </c>
      <c r="AV139" s="83">
        <f>AW139+AX139</f>
        <v>0</v>
      </c>
      <c r="AW139" s="83">
        <f>K139*AO139</f>
        <v>0</v>
      </c>
      <c r="AX139" s="83">
        <f>K139*AP139</f>
        <v>0</v>
      </c>
      <c r="AY139" s="85" t="s">
        <v>272</v>
      </c>
      <c r="AZ139" s="85" t="s">
        <v>57</v>
      </c>
      <c r="BA139" s="72" t="s">
        <v>58</v>
      </c>
      <c r="BC139" s="83">
        <f>AW139+AX139</f>
        <v>0</v>
      </c>
      <c r="BD139" s="83">
        <f>L139/(100-BE139)*100</f>
        <v>0</v>
      </c>
      <c r="BE139" s="83">
        <v>0</v>
      </c>
      <c r="BF139" s="83">
        <f>139</f>
        <v>139</v>
      </c>
      <c r="BH139" s="83">
        <f>K139*AO139</f>
        <v>0</v>
      </c>
      <c r="BI139" s="83">
        <f>K139*AP139</f>
        <v>0</v>
      </c>
      <c r="BJ139" s="83">
        <f>K139*L139</f>
        <v>0</v>
      </c>
      <c r="BK139" s="83"/>
      <c r="BL139" s="83">
        <v>16</v>
      </c>
    </row>
    <row r="140" spans="1:13" ht="15" customHeight="1">
      <c r="A140" s="86"/>
      <c r="C140" s="87" t="s">
        <v>59</v>
      </c>
      <c r="I140" s="87" t="s">
        <v>49</v>
      </c>
      <c r="K140" s="88">
        <v>6.000000000000001</v>
      </c>
      <c r="M140" s="89"/>
    </row>
    <row r="141" spans="1:64" ht="15" customHeight="1">
      <c r="A141" s="65" t="s">
        <v>274</v>
      </c>
      <c r="B141" s="66" t="s">
        <v>279</v>
      </c>
      <c r="C141" s="150" t="s">
        <v>280</v>
      </c>
      <c r="D141" s="150"/>
      <c r="E141" s="150"/>
      <c r="F141" s="150"/>
      <c r="G141" s="150"/>
      <c r="H141" s="150"/>
      <c r="I141" s="150"/>
      <c r="J141" s="66" t="s">
        <v>55</v>
      </c>
      <c r="K141" s="83">
        <v>2</v>
      </c>
      <c r="L141" s="108"/>
      <c r="M141" s="84">
        <f>K141*L141</f>
        <v>0</v>
      </c>
      <c r="Z141" s="83">
        <f>IF(AQ141="5",BJ141,0)</f>
        <v>0</v>
      </c>
      <c r="AB141" s="83">
        <f>IF(AQ141="1",BH141,0)</f>
        <v>0</v>
      </c>
      <c r="AC141" s="83">
        <f>IF(AQ141="1",BI141,0)</f>
        <v>0</v>
      </c>
      <c r="AD141" s="83">
        <f>IF(AQ141="7",BH141,0)</f>
        <v>0</v>
      </c>
      <c r="AE141" s="83">
        <f>IF(AQ141="7",BI141,0)</f>
        <v>0</v>
      </c>
      <c r="AF141" s="83">
        <f>IF(AQ141="2",BH141,0)</f>
        <v>0</v>
      </c>
      <c r="AG141" s="83">
        <f>IF(AQ141="2",BI141,0)</f>
        <v>0</v>
      </c>
      <c r="AH141" s="83">
        <f>IF(AQ141="0",BJ141,0)</f>
        <v>0</v>
      </c>
      <c r="AI141" s="72" t="s">
        <v>49</v>
      </c>
      <c r="AJ141" s="83">
        <f>IF(AN141=0,M141,0)</f>
        <v>0</v>
      </c>
      <c r="AK141" s="83">
        <f>IF(AN141=15,M141,0)</f>
        <v>0</v>
      </c>
      <c r="AL141" s="83">
        <f>IF(AN141=21,M141,0)</f>
        <v>0</v>
      </c>
      <c r="AN141" s="83">
        <v>21</v>
      </c>
      <c r="AO141" s="83">
        <f>L141*0</f>
        <v>0</v>
      </c>
      <c r="AP141" s="83">
        <f>L141*(1-0)</f>
        <v>0</v>
      </c>
      <c r="AQ141" s="85" t="s">
        <v>52</v>
      </c>
      <c r="AV141" s="83">
        <f>AW141+AX141</f>
        <v>0</v>
      </c>
      <c r="AW141" s="83">
        <f>K141*AO141</f>
        <v>0</v>
      </c>
      <c r="AX141" s="83">
        <f>K141*AP141</f>
        <v>0</v>
      </c>
      <c r="AY141" s="85" t="s">
        <v>272</v>
      </c>
      <c r="AZ141" s="85" t="s">
        <v>57</v>
      </c>
      <c r="BA141" s="72" t="s">
        <v>58</v>
      </c>
      <c r="BC141" s="83">
        <f>AW141+AX141</f>
        <v>0</v>
      </c>
      <c r="BD141" s="83">
        <f>L141/(100-BE141)*100</f>
        <v>0</v>
      </c>
      <c r="BE141" s="83">
        <v>0</v>
      </c>
      <c r="BF141" s="83">
        <f>141</f>
        <v>141</v>
      </c>
      <c r="BH141" s="83">
        <f>K141*AO141</f>
        <v>0</v>
      </c>
      <c r="BI141" s="83">
        <f>K141*AP141</f>
        <v>0</v>
      </c>
      <c r="BJ141" s="83">
        <f>K141*L141</f>
        <v>0</v>
      </c>
      <c r="BK141" s="83"/>
      <c r="BL141" s="83">
        <v>16</v>
      </c>
    </row>
    <row r="142" spans="1:13" ht="15" customHeight="1">
      <c r="A142" s="86"/>
      <c r="C142" s="87" t="s">
        <v>62</v>
      </c>
      <c r="I142" s="87" t="s">
        <v>49</v>
      </c>
      <c r="K142" s="88">
        <v>2</v>
      </c>
      <c r="M142" s="89"/>
    </row>
    <row r="143" spans="1:64" ht="15" customHeight="1">
      <c r="A143" s="65" t="s">
        <v>275</v>
      </c>
      <c r="B143" s="66" t="s">
        <v>282</v>
      </c>
      <c r="C143" s="150" t="s">
        <v>283</v>
      </c>
      <c r="D143" s="150"/>
      <c r="E143" s="150"/>
      <c r="F143" s="150"/>
      <c r="G143" s="150"/>
      <c r="H143" s="150"/>
      <c r="I143" s="150"/>
      <c r="J143" s="66" t="s">
        <v>55</v>
      </c>
      <c r="K143" s="83">
        <v>3</v>
      </c>
      <c r="L143" s="108"/>
      <c r="M143" s="84">
        <f>K143*L143</f>
        <v>0</v>
      </c>
      <c r="Z143" s="83">
        <f>IF(AQ143="5",BJ143,0)</f>
        <v>0</v>
      </c>
      <c r="AB143" s="83">
        <f>IF(AQ143="1",BH143,0)</f>
        <v>0</v>
      </c>
      <c r="AC143" s="83">
        <f>IF(AQ143="1",BI143,0)</f>
        <v>0</v>
      </c>
      <c r="AD143" s="83">
        <f>IF(AQ143="7",BH143,0)</f>
        <v>0</v>
      </c>
      <c r="AE143" s="83">
        <f>IF(AQ143="7",BI143,0)</f>
        <v>0</v>
      </c>
      <c r="AF143" s="83">
        <f>IF(AQ143="2",BH143,0)</f>
        <v>0</v>
      </c>
      <c r="AG143" s="83">
        <f>IF(AQ143="2",BI143,0)</f>
        <v>0</v>
      </c>
      <c r="AH143" s="83">
        <f>IF(AQ143="0",BJ143,0)</f>
        <v>0</v>
      </c>
      <c r="AI143" s="72" t="s">
        <v>49</v>
      </c>
      <c r="AJ143" s="83">
        <f>IF(AN143=0,M143,0)</f>
        <v>0</v>
      </c>
      <c r="AK143" s="83">
        <f>IF(AN143=15,M143,0)</f>
        <v>0</v>
      </c>
      <c r="AL143" s="83">
        <f>IF(AN143=21,M143,0)</f>
        <v>0</v>
      </c>
      <c r="AN143" s="83">
        <v>21</v>
      </c>
      <c r="AO143" s="83">
        <f>L143*0</f>
        <v>0</v>
      </c>
      <c r="AP143" s="83">
        <f>L143*(1-0)</f>
        <v>0</v>
      </c>
      <c r="AQ143" s="85" t="s">
        <v>52</v>
      </c>
      <c r="AV143" s="83">
        <f>AW143+AX143</f>
        <v>0</v>
      </c>
      <c r="AW143" s="83">
        <f>K143*AO143</f>
        <v>0</v>
      </c>
      <c r="AX143" s="83">
        <f>K143*AP143</f>
        <v>0</v>
      </c>
      <c r="AY143" s="85" t="s">
        <v>272</v>
      </c>
      <c r="AZ143" s="85" t="s">
        <v>57</v>
      </c>
      <c r="BA143" s="72" t="s">
        <v>58</v>
      </c>
      <c r="BC143" s="83">
        <f>AW143+AX143</f>
        <v>0</v>
      </c>
      <c r="BD143" s="83">
        <f>L143/(100-BE143)*100</f>
        <v>0</v>
      </c>
      <c r="BE143" s="83">
        <v>0</v>
      </c>
      <c r="BF143" s="83">
        <f>143</f>
        <v>143</v>
      </c>
      <c r="BH143" s="83">
        <f>K143*AO143</f>
        <v>0</v>
      </c>
      <c r="BI143" s="83">
        <f>K143*AP143</f>
        <v>0</v>
      </c>
      <c r="BJ143" s="83">
        <f>K143*L143</f>
        <v>0</v>
      </c>
      <c r="BK143" s="83"/>
      <c r="BL143" s="83">
        <v>16</v>
      </c>
    </row>
    <row r="144" spans="1:13" ht="15" customHeight="1">
      <c r="A144" s="86"/>
      <c r="C144" s="87" t="s">
        <v>65</v>
      </c>
      <c r="I144" s="87" t="s">
        <v>49</v>
      </c>
      <c r="K144" s="88">
        <v>3.0000000000000004</v>
      </c>
      <c r="M144" s="89"/>
    </row>
    <row r="145" spans="1:64" ht="15" customHeight="1">
      <c r="A145" s="65" t="s">
        <v>278</v>
      </c>
      <c r="B145" s="66" t="s">
        <v>285</v>
      </c>
      <c r="C145" s="150" t="s">
        <v>286</v>
      </c>
      <c r="D145" s="150"/>
      <c r="E145" s="150"/>
      <c r="F145" s="150"/>
      <c r="G145" s="150"/>
      <c r="H145" s="150"/>
      <c r="I145" s="150"/>
      <c r="J145" s="66" t="s">
        <v>55</v>
      </c>
      <c r="K145" s="83">
        <v>8</v>
      </c>
      <c r="L145" s="108"/>
      <c r="M145" s="84">
        <f>K145*L145</f>
        <v>0</v>
      </c>
      <c r="Z145" s="83">
        <f>IF(AQ145="5",BJ145,0)</f>
        <v>0</v>
      </c>
      <c r="AB145" s="83">
        <f>IF(AQ145="1",BH145,0)</f>
        <v>0</v>
      </c>
      <c r="AC145" s="83">
        <f>IF(AQ145="1",BI145,0)</f>
        <v>0</v>
      </c>
      <c r="AD145" s="83">
        <f>IF(AQ145="7",BH145,0)</f>
        <v>0</v>
      </c>
      <c r="AE145" s="83">
        <f>IF(AQ145="7",BI145,0)</f>
        <v>0</v>
      </c>
      <c r="AF145" s="83">
        <f>IF(AQ145="2",BH145,0)</f>
        <v>0</v>
      </c>
      <c r="AG145" s="83">
        <f>IF(AQ145="2",BI145,0)</f>
        <v>0</v>
      </c>
      <c r="AH145" s="83">
        <f>IF(AQ145="0",BJ145,0)</f>
        <v>0</v>
      </c>
      <c r="AI145" s="72" t="s">
        <v>49</v>
      </c>
      <c r="AJ145" s="83">
        <f>IF(AN145=0,M145,0)</f>
        <v>0</v>
      </c>
      <c r="AK145" s="83">
        <f>IF(AN145=15,M145,0)</f>
        <v>0</v>
      </c>
      <c r="AL145" s="83">
        <f>IF(AN145=21,M145,0)</f>
        <v>0</v>
      </c>
      <c r="AN145" s="83">
        <v>21</v>
      </c>
      <c r="AO145" s="83">
        <f>L145*0</f>
        <v>0</v>
      </c>
      <c r="AP145" s="83">
        <f>L145*(1-0)</f>
        <v>0</v>
      </c>
      <c r="AQ145" s="85" t="s">
        <v>52</v>
      </c>
      <c r="AV145" s="83">
        <f>AW145+AX145</f>
        <v>0</v>
      </c>
      <c r="AW145" s="83">
        <f>K145*AO145</f>
        <v>0</v>
      </c>
      <c r="AX145" s="83">
        <f>K145*AP145</f>
        <v>0</v>
      </c>
      <c r="AY145" s="85" t="s">
        <v>272</v>
      </c>
      <c r="AZ145" s="85" t="s">
        <v>57</v>
      </c>
      <c r="BA145" s="72" t="s">
        <v>58</v>
      </c>
      <c r="BC145" s="83">
        <f>AW145+AX145</f>
        <v>0</v>
      </c>
      <c r="BD145" s="83">
        <f>L145/(100-BE145)*100</f>
        <v>0</v>
      </c>
      <c r="BE145" s="83">
        <v>0</v>
      </c>
      <c r="BF145" s="83">
        <f>145</f>
        <v>145</v>
      </c>
      <c r="BH145" s="83">
        <f>K145*AO145</f>
        <v>0</v>
      </c>
      <c r="BI145" s="83">
        <f>K145*AP145</f>
        <v>0</v>
      </c>
      <c r="BJ145" s="83">
        <f>K145*L145</f>
        <v>0</v>
      </c>
      <c r="BK145" s="83"/>
      <c r="BL145" s="83">
        <v>16</v>
      </c>
    </row>
    <row r="146" spans="1:13" ht="15" customHeight="1">
      <c r="A146" s="86"/>
      <c r="C146" s="87" t="s">
        <v>71</v>
      </c>
      <c r="I146" s="87" t="s">
        <v>49</v>
      </c>
      <c r="K146" s="88">
        <v>8</v>
      </c>
      <c r="M146" s="89"/>
    </row>
    <row r="147" spans="1:64" ht="15" customHeight="1">
      <c r="A147" s="65" t="s">
        <v>281</v>
      </c>
      <c r="B147" s="66" t="s">
        <v>288</v>
      </c>
      <c r="C147" s="150" t="s">
        <v>289</v>
      </c>
      <c r="D147" s="150"/>
      <c r="E147" s="150"/>
      <c r="F147" s="150"/>
      <c r="G147" s="150"/>
      <c r="H147" s="150"/>
      <c r="I147" s="150"/>
      <c r="J147" s="66" t="s">
        <v>55</v>
      </c>
      <c r="K147" s="83">
        <v>3</v>
      </c>
      <c r="L147" s="108"/>
      <c r="M147" s="84">
        <f>K147*L147</f>
        <v>0</v>
      </c>
      <c r="Z147" s="83">
        <f>IF(AQ147="5",BJ147,0)</f>
        <v>0</v>
      </c>
      <c r="AB147" s="83">
        <f>IF(AQ147="1",BH147,0)</f>
        <v>0</v>
      </c>
      <c r="AC147" s="83">
        <f>IF(AQ147="1",BI147,0)</f>
        <v>0</v>
      </c>
      <c r="AD147" s="83">
        <f>IF(AQ147="7",BH147,0)</f>
        <v>0</v>
      </c>
      <c r="AE147" s="83">
        <f>IF(AQ147="7",BI147,0)</f>
        <v>0</v>
      </c>
      <c r="AF147" s="83">
        <f>IF(AQ147="2",BH147,0)</f>
        <v>0</v>
      </c>
      <c r="AG147" s="83">
        <f>IF(AQ147="2",BI147,0)</f>
        <v>0</v>
      </c>
      <c r="AH147" s="83">
        <f>IF(AQ147="0",BJ147,0)</f>
        <v>0</v>
      </c>
      <c r="AI147" s="72" t="s">
        <v>49</v>
      </c>
      <c r="AJ147" s="83">
        <f>IF(AN147=0,M147,0)</f>
        <v>0</v>
      </c>
      <c r="AK147" s="83">
        <f>IF(AN147=15,M147,0)</f>
        <v>0</v>
      </c>
      <c r="AL147" s="83">
        <f>IF(AN147=21,M147,0)</f>
        <v>0</v>
      </c>
      <c r="AN147" s="83">
        <v>21</v>
      </c>
      <c r="AO147" s="83">
        <f>L147*0</f>
        <v>0</v>
      </c>
      <c r="AP147" s="83">
        <f>L147*(1-0)</f>
        <v>0</v>
      </c>
      <c r="AQ147" s="85" t="s">
        <v>52</v>
      </c>
      <c r="AV147" s="83">
        <f>AW147+AX147</f>
        <v>0</v>
      </c>
      <c r="AW147" s="83">
        <f>K147*AO147</f>
        <v>0</v>
      </c>
      <c r="AX147" s="83">
        <f>K147*AP147</f>
        <v>0</v>
      </c>
      <c r="AY147" s="85" t="s">
        <v>272</v>
      </c>
      <c r="AZ147" s="85" t="s">
        <v>57</v>
      </c>
      <c r="BA147" s="72" t="s">
        <v>58</v>
      </c>
      <c r="BC147" s="83">
        <f>AW147+AX147</f>
        <v>0</v>
      </c>
      <c r="BD147" s="83">
        <f>L147/(100-BE147)*100</f>
        <v>0</v>
      </c>
      <c r="BE147" s="83">
        <v>0</v>
      </c>
      <c r="BF147" s="83">
        <f>147</f>
        <v>147</v>
      </c>
      <c r="BH147" s="83">
        <f>K147*AO147</f>
        <v>0</v>
      </c>
      <c r="BI147" s="83">
        <f>K147*AP147</f>
        <v>0</v>
      </c>
      <c r="BJ147" s="83">
        <f>K147*L147</f>
        <v>0</v>
      </c>
      <c r="BK147" s="83"/>
      <c r="BL147" s="83">
        <v>16</v>
      </c>
    </row>
    <row r="148" spans="1:13" ht="15" customHeight="1">
      <c r="A148" s="86"/>
      <c r="C148" s="87" t="s">
        <v>65</v>
      </c>
      <c r="I148" s="87" t="s">
        <v>49</v>
      </c>
      <c r="K148" s="88">
        <v>3.0000000000000004</v>
      </c>
      <c r="M148" s="89"/>
    </row>
    <row r="149" spans="1:64" ht="15" customHeight="1">
      <c r="A149" s="65" t="s">
        <v>284</v>
      </c>
      <c r="B149" s="66" t="s">
        <v>291</v>
      </c>
      <c r="C149" s="150" t="s">
        <v>292</v>
      </c>
      <c r="D149" s="150"/>
      <c r="E149" s="150"/>
      <c r="F149" s="150"/>
      <c r="G149" s="150"/>
      <c r="H149" s="150"/>
      <c r="I149" s="150"/>
      <c r="J149" s="66" t="s">
        <v>293</v>
      </c>
      <c r="K149" s="83">
        <v>30</v>
      </c>
      <c r="L149" s="108"/>
      <c r="M149" s="84">
        <f>K149*L149</f>
        <v>0</v>
      </c>
      <c r="Z149" s="83">
        <f>IF(AQ149="5",BJ149,0)</f>
        <v>0</v>
      </c>
      <c r="AB149" s="83">
        <f>IF(AQ149="1",BH149,0)</f>
        <v>0</v>
      </c>
      <c r="AC149" s="83">
        <f>IF(AQ149="1",BI149,0)</f>
        <v>0</v>
      </c>
      <c r="AD149" s="83">
        <f>IF(AQ149="7",BH149,0)</f>
        <v>0</v>
      </c>
      <c r="AE149" s="83">
        <f>IF(AQ149="7",BI149,0)</f>
        <v>0</v>
      </c>
      <c r="AF149" s="83">
        <f>IF(AQ149="2",BH149,0)</f>
        <v>0</v>
      </c>
      <c r="AG149" s="83">
        <f>IF(AQ149="2",BI149,0)</f>
        <v>0</v>
      </c>
      <c r="AH149" s="83">
        <f>IF(AQ149="0",BJ149,0)</f>
        <v>0</v>
      </c>
      <c r="AI149" s="72" t="s">
        <v>49</v>
      </c>
      <c r="AJ149" s="83">
        <f>IF(AN149=0,M149,0)</f>
        <v>0</v>
      </c>
      <c r="AK149" s="83">
        <f>IF(AN149=15,M149,0)</f>
        <v>0</v>
      </c>
      <c r="AL149" s="83">
        <f>IF(AN149=21,M149,0)</f>
        <v>0</v>
      </c>
      <c r="AN149" s="83">
        <v>21</v>
      </c>
      <c r="AO149" s="83">
        <f>L149*0</f>
        <v>0</v>
      </c>
      <c r="AP149" s="83">
        <f>L149*(1-0)</f>
        <v>0</v>
      </c>
      <c r="AQ149" s="85" t="s">
        <v>52</v>
      </c>
      <c r="AV149" s="83">
        <f>AW149+AX149</f>
        <v>0</v>
      </c>
      <c r="AW149" s="83">
        <f>K149*AO149</f>
        <v>0</v>
      </c>
      <c r="AX149" s="83">
        <f>K149*AP149</f>
        <v>0</v>
      </c>
      <c r="AY149" s="85" t="s">
        <v>272</v>
      </c>
      <c r="AZ149" s="85" t="s">
        <v>57</v>
      </c>
      <c r="BA149" s="72" t="s">
        <v>58</v>
      </c>
      <c r="BC149" s="83">
        <f>AW149+AX149</f>
        <v>0</v>
      </c>
      <c r="BD149" s="83">
        <f>L149/(100-BE149)*100</f>
        <v>0</v>
      </c>
      <c r="BE149" s="83">
        <v>0</v>
      </c>
      <c r="BF149" s="83">
        <f>149</f>
        <v>149</v>
      </c>
      <c r="BH149" s="83">
        <f>K149*AO149</f>
        <v>0</v>
      </c>
      <c r="BI149" s="83">
        <f>K149*AP149</f>
        <v>0</v>
      </c>
      <c r="BJ149" s="83">
        <f>K149*L149</f>
        <v>0</v>
      </c>
      <c r="BK149" s="83"/>
      <c r="BL149" s="83">
        <v>16</v>
      </c>
    </row>
    <row r="150" spans="1:13" ht="15" customHeight="1">
      <c r="A150" s="86"/>
      <c r="C150" s="87" t="s">
        <v>234</v>
      </c>
      <c r="I150" s="87" t="s">
        <v>49</v>
      </c>
      <c r="K150" s="88">
        <v>30.000000000000004</v>
      </c>
      <c r="M150" s="89"/>
    </row>
    <row r="151" spans="1:64" ht="15" customHeight="1">
      <c r="A151" s="65" t="s">
        <v>287</v>
      </c>
      <c r="B151" s="66" t="s">
        <v>295</v>
      </c>
      <c r="C151" s="150" t="s">
        <v>296</v>
      </c>
      <c r="D151" s="150"/>
      <c r="E151" s="150"/>
      <c r="F151" s="150"/>
      <c r="G151" s="150"/>
      <c r="H151" s="150"/>
      <c r="I151" s="150"/>
      <c r="J151" s="66" t="s">
        <v>55</v>
      </c>
      <c r="K151" s="83">
        <v>30</v>
      </c>
      <c r="L151" s="108"/>
      <c r="M151" s="84">
        <f>K151*L151</f>
        <v>0</v>
      </c>
      <c r="Z151" s="83">
        <f>IF(AQ151="5",BJ151,0)</f>
        <v>0</v>
      </c>
      <c r="AB151" s="83">
        <f>IF(AQ151="1",BH151,0)</f>
        <v>0</v>
      </c>
      <c r="AC151" s="83">
        <f>IF(AQ151="1",BI151,0)</f>
        <v>0</v>
      </c>
      <c r="AD151" s="83">
        <f>IF(AQ151="7",BH151,0)</f>
        <v>0</v>
      </c>
      <c r="AE151" s="83">
        <f>IF(AQ151="7",BI151,0)</f>
        <v>0</v>
      </c>
      <c r="AF151" s="83">
        <f>IF(AQ151="2",BH151,0)</f>
        <v>0</v>
      </c>
      <c r="AG151" s="83">
        <f>IF(AQ151="2",BI151,0)</f>
        <v>0</v>
      </c>
      <c r="AH151" s="83">
        <f>IF(AQ151="0",BJ151,0)</f>
        <v>0</v>
      </c>
      <c r="AI151" s="72" t="s">
        <v>49</v>
      </c>
      <c r="AJ151" s="83">
        <f>IF(AN151=0,M151,0)</f>
        <v>0</v>
      </c>
      <c r="AK151" s="83">
        <f>IF(AN151=15,M151,0)</f>
        <v>0</v>
      </c>
      <c r="AL151" s="83">
        <f>IF(AN151=21,M151,0)</f>
        <v>0</v>
      </c>
      <c r="AN151" s="83">
        <v>21</v>
      </c>
      <c r="AO151" s="83">
        <f>L151*0</f>
        <v>0</v>
      </c>
      <c r="AP151" s="83">
        <f>L151*(1-0)</f>
        <v>0</v>
      </c>
      <c r="AQ151" s="85" t="s">
        <v>52</v>
      </c>
      <c r="AV151" s="83">
        <f>AW151+AX151</f>
        <v>0</v>
      </c>
      <c r="AW151" s="83">
        <f>K151*AO151</f>
        <v>0</v>
      </c>
      <c r="AX151" s="83">
        <f>K151*AP151</f>
        <v>0</v>
      </c>
      <c r="AY151" s="85" t="s">
        <v>272</v>
      </c>
      <c r="AZ151" s="85" t="s">
        <v>57</v>
      </c>
      <c r="BA151" s="72" t="s">
        <v>58</v>
      </c>
      <c r="BC151" s="83">
        <f>AW151+AX151</f>
        <v>0</v>
      </c>
      <c r="BD151" s="83">
        <f>L151/(100-BE151)*100</f>
        <v>0</v>
      </c>
      <c r="BE151" s="83">
        <v>0</v>
      </c>
      <c r="BF151" s="83">
        <f>151</f>
        <v>151</v>
      </c>
      <c r="BH151" s="83">
        <f>K151*AO151</f>
        <v>0</v>
      </c>
      <c r="BI151" s="83">
        <f>K151*AP151</f>
        <v>0</v>
      </c>
      <c r="BJ151" s="83">
        <f>K151*L151</f>
        <v>0</v>
      </c>
      <c r="BK151" s="83"/>
      <c r="BL151" s="83">
        <v>16</v>
      </c>
    </row>
    <row r="152" spans="1:13" ht="15" customHeight="1">
      <c r="A152" s="86"/>
      <c r="C152" s="87" t="s">
        <v>234</v>
      </c>
      <c r="I152" s="87" t="s">
        <v>49</v>
      </c>
      <c r="K152" s="88">
        <v>30.000000000000004</v>
      </c>
      <c r="M152" s="89"/>
    </row>
    <row r="153" spans="1:64" ht="15" customHeight="1">
      <c r="A153" s="65" t="s">
        <v>290</v>
      </c>
      <c r="B153" s="66" t="s">
        <v>298</v>
      </c>
      <c r="C153" s="150" t="s">
        <v>299</v>
      </c>
      <c r="D153" s="150"/>
      <c r="E153" s="150"/>
      <c r="F153" s="150"/>
      <c r="G153" s="150"/>
      <c r="H153" s="150"/>
      <c r="I153" s="150"/>
      <c r="J153" s="66" t="s">
        <v>55</v>
      </c>
      <c r="K153" s="83">
        <v>50</v>
      </c>
      <c r="L153" s="108"/>
      <c r="M153" s="84">
        <f>K153*L153</f>
        <v>0</v>
      </c>
      <c r="Z153" s="83">
        <f>IF(AQ153="5",BJ153,0)</f>
        <v>0</v>
      </c>
      <c r="AB153" s="83">
        <f>IF(AQ153="1",BH153,0)</f>
        <v>0</v>
      </c>
      <c r="AC153" s="83">
        <f>IF(AQ153="1",BI153,0)</f>
        <v>0</v>
      </c>
      <c r="AD153" s="83">
        <f>IF(AQ153="7",BH153,0)</f>
        <v>0</v>
      </c>
      <c r="AE153" s="83">
        <f>IF(AQ153="7",BI153,0)</f>
        <v>0</v>
      </c>
      <c r="AF153" s="83">
        <f>IF(AQ153="2",BH153,0)</f>
        <v>0</v>
      </c>
      <c r="AG153" s="83">
        <f>IF(AQ153="2",BI153,0)</f>
        <v>0</v>
      </c>
      <c r="AH153" s="83">
        <f>IF(AQ153="0",BJ153,0)</f>
        <v>0</v>
      </c>
      <c r="AI153" s="72" t="s">
        <v>49</v>
      </c>
      <c r="AJ153" s="83">
        <f>IF(AN153=0,M153,0)</f>
        <v>0</v>
      </c>
      <c r="AK153" s="83">
        <f>IF(AN153=15,M153,0)</f>
        <v>0</v>
      </c>
      <c r="AL153" s="83">
        <f>IF(AN153=21,M153,0)</f>
        <v>0</v>
      </c>
      <c r="AN153" s="83">
        <v>21</v>
      </c>
      <c r="AO153" s="83">
        <f>L153*0</f>
        <v>0</v>
      </c>
      <c r="AP153" s="83">
        <f>L153*(1-0)</f>
        <v>0</v>
      </c>
      <c r="AQ153" s="85" t="s">
        <v>52</v>
      </c>
      <c r="AV153" s="83">
        <f>AW153+AX153</f>
        <v>0</v>
      </c>
      <c r="AW153" s="83">
        <f>K153*AO153</f>
        <v>0</v>
      </c>
      <c r="AX153" s="83">
        <f>K153*AP153</f>
        <v>0</v>
      </c>
      <c r="AY153" s="85" t="s">
        <v>272</v>
      </c>
      <c r="AZ153" s="85" t="s">
        <v>57</v>
      </c>
      <c r="BA153" s="72" t="s">
        <v>58</v>
      </c>
      <c r="BC153" s="83">
        <f>AW153+AX153</f>
        <v>0</v>
      </c>
      <c r="BD153" s="83">
        <f>L153/(100-BE153)*100</f>
        <v>0</v>
      </c>
      <c r="BE153" s="83">
        <v>0</v>
      </c>
      <c r="BF153" s="83">
        <f>153</f>
        <v>153</v>
      </c>
      <c r="BH153" s="83">
        <f>K153*AO153</f>
        <v>0</v>
      </c>
      <c r="BI153" s="83">
        <f>K153*AP153</f>
        <v>0</v>
      </c>
      <c r="BJ153" s="83">
        <f>K153*L153</f>
        <v>0</v>
      </c>
      <c r="BK153" s="83"/>
      <c r="BL153" s="83">
        <v>16</v>
      </c>
    </row>
    <row r="154" spans="1:13" ht="15" customHeight="1">
      <c r="A154" s="86"/>
      <c r="C154" s="87" t="s">
        <v>300</v>
      </c>
      <c r="I154" s="87" t="s">
        <v>49</v>
      </c>
      <c r="K154" s="88">
        <v>50.00000000000001</v>
      </c>
      <c r="M154" s="89"/>
    </row>
    <row r="155" spans="1:47" ht="15" customHeight="1">
      <c r="A155" s="78" t="s">
        <v>49</v>
      </c>
      <c r="B155" s="79" t="s">
        <v>156</v>
      </c>
      <c r="C155" s="168" t="s">
        <v>301</v>
      </c>
      <c r="D155" s="168"/>
      <c r="E155" s="168"/>
      <c r="F155" s="168"/>
      <c r="G155" s="168"/>
      <c r="H155" s="168"/>
      <c r="I155" s="168"/>
      <c r="J155" s="80" t="s">
        <v>3</v>
      </c>
      <c r="K155" s="80" t="s">
        <v>3</v>
      </c>
      <c r="L155" s="80" t="s">
        <v>3</v>
      </c>
      <c r="M155" s="81">
        <f>SUM(M156:M166)</f>
        <v>0</v>
      </c>
      <c r="AI155" s="72" t="s">
        <v>49</v>
      </c>
      <c r="AS155" s="82">
        <f>SUM(AJ156:AJ166)</f>
        <v>0</v>
      </c>
      <c r="AT155" s="82">
        <f>SUM(AK156:AK166)</f>
        <v>0</v>
      </c>
      <c r="AU155" s="82">
        <f>SUM(AL156:AL166)</f>
        <v>0</v>
      </c>
    </row>
    <row r="156" spans="1:64" ht="15" customHeight="1">
      <c r="A156" s="65" t="s">
        <v>294</v>
      </c>
      <c r="B156" s="66" t="s">
        <v>303</v>
      </c>
      <c r="C156" s="150" t="s">
        <v>304</v>
      </c>
      <c r="D156" s="150"/>
      <c r="E156" s="150"/>
      <c r="F156" s="150"/>
      <c r="G156" s="150"/>
      <c r="H156" s="150"/>
      <c r="I156" s="150"/>
      <c r="J156" s="66" t="s">
        <v>226</v>
      </c>
      <c r="K156" s="83">
        <v>50</v>
      </c>
      <c r="L156" s="108"/>
      <c r="M156" s="84">
        <f>K156*L156</f>
        <v>0</v>
      </c>
      <c r="Z156" s="83">
        <f>IF(AQ156="5",BJ156,0)</f>
        <v>0</v>
      </c>
      <c r="AB156" s="83">
        <f>IF(AQ156="1",BH156,0)</f>
        <v>0</v>
      </c>
      <c r="AC156" s="83">
        <f>IF(AQ156="1",BI156,0)</f>
        <v>0</v>
      </c>
      <c r="AD156" s="83">
        <f>IF(AQ156="7",BH156,0)</f>
        <v>0</v>
      </c>
      <c r="AE156" s="83">
        <f>IF(AQ156="7",BI156,0)</f>
        <v>0</v>
      </c>
      <c r="AF156" s="83">
        <f>IF(AQ156="2",BH156,0)</f>
        <v>0</v>
      </c>
      <c r="AG156" s="83">
        <f>IF(AQ156="2",BI156,0)</f>
        <v>0</v>
      </c>
      <c r="AH156" s="83">
        <f>IF(AQ156="0",BJ156,0)</f>
        <v>0</v>
      </c>
      <c r="AI156" s="72" t="s">
        <v>49</v>
      </c>
      <c r="AJ156" s="83">
        <f>IF(AN156=0,M156,0)</f>
        <v>0</v>
      </c>
      <c r="AK156" s="83">
        <f>IF(AN156=15,M156,0)</f>
        <v>0</v>
      </c>
      <c r="AL156" s="83">
        <f>IF(AN156=21,M156,0)</f>
        <v>0</v>
      </c>
      <c r="AN156" s="83">
        <v>21</v>
      </c>
      <c r="AO156" s="83">
        <f>L156*0</f>
        <v>0</v>
      </c>
      <c r="AP156" s="83">
        <f>L156*(1-0)</f>
        <v>0</v>
      </c>
      <c r="AQ156" s="85" t="s">
        <v>52</v>
      </c>
      <c r="AV156" s="83">
        <f>AW156+AX156</f>
        <v>0</v>
      </c>
      <c r="AW156" s="83">
        <f>K156*AO156</f>
        <v>0</v>
      </c>
      <c r="AX156" s="83">
        <f>K156*AP156</f>
        <v>0</v>
      </c>
      <c r="AY156" s="85" t="s">
        <v>305</v>
      </c>
      <c r="AZ156" s="85" t="s">
        <v>57</v>
      </c>
      <c r="BA156" s="72" t="s">
        <v>58</v>
      </c>
      <c r="BC156" s="83">
        <f>AW156+AX156</f>
        <v>0</v>
      </c>
      <c r="BD156" s="83">
        <f>L156/(100-BE156)*100</f>
        <v>0</v>
      </c>
      <c r="BE156" s="83">
        <v>0</v>
      </c>
      <c r="BF156" s="83">
        <f>156</f>
        <v>156</v>
      </c>
      <c r="BH156" s="83">
        <f>K156*AO156</f>
        <v>0</v>
      </c>
      <c r="BI156" s="83">
        <f>K156*AP156</f>
        <v>0</v>
      </c>
      <c r="BJ156" s="83">
        <f>K156*L156</f>
        <v>0</v>
      </c>
      <c r="BK156" s="83"/>
      <c r="BL156" s="83">
        <v>17</v>
      </c>
    </row>
    <row r="157" spans="1:13" ht="15" customHeight="1">
      <c r="A157" s="86"/>
      <c r="C157" s="87" t="s">
        <v>300</v>
      </c>
      <c r="I157" s="87" t="s">
        <v>49</v>
      </c>
      <c r="K157" s="88">
        <v>50.00000000000001</v>
      </c>
      <c r="M157" s="89"/>
    </row>
    <row r="158" spans="1:13" ht="13.5" customHeight="1">
      <c r="A158" s="86"/>
      <c r="B158" s="90" t="s">
        <v>60</v>
      </c>
      <c r="C158" s="161" t="s">
        <v>306</v>
      </c>
      <c r="D158" s="162"/>
      <c r="E158" s="162"/>
      <c r="F158" s="162"/>
      <c r="G158" s="162"/>
      <c r="H158" s="162"/>
      <c r="I158" s="162"/>
      <c r="J158" s="162"/>
      <c r="K158" s="162"/>
      <c r="L158" s="162"/>
      <c r="M158" s="163"/>
    </row>
    <row r="159" spans="1:64" ht="15" customHeight="1">
      <c r="A159" s="65" t="s">
        <v>297</v>
      </c>
      <c r="B159" s="66" t="s">
        <v>308</v>
      </c>
      <c r="C159" s="150" t="s">
        <v>309</v>
      </c>
      <c r="D159" s="150"/>
      <c r="E159" s="150"/>
      <c r="F159" s="150"/>
      <c r="G159" s="150"/>
      <c r="H159" s="150"/>
      <c r="I159" s="150"/>
      <c r="J159" s="66" t="s">
        <v>226</v>
      </c>
      <c r="K159" s="83">
        <v>186.2</v>
      </c>
      <c r="L159" s="108"/>
      <c r="M159" s="84">
        <f>K159*L159</f>
        <v>0</v>
      </c>
      <c r="Z159" s="83">
        <f>IF(AQ159="5",BJ159,0)</f>
        <v>0</v>
      </c>
      <c r="AB159" s="83">
        <f>IF(AQ159="1",BH159,0)</f>
        <v>0</v>
      </c>
      <c r="AC159" s="83">
        <f>IF(AQ159="1",BI159,0)</f>
        <v>0</v>
      </c>
      <c r="AD159" s="83">
        <f>IF(AQ159="7",BH159,0)</f>
        <v>0</v>
      </c>
      <c r="AE159" s="83">
        <f>IF(AQ159="7",BI159,0)</f>
        <v>0</v>
      </c>
      <c r="AF159" s="83">
        <f>IF(AQ159="2",BH159,0)</f>
        <v>0</v>
      </c>
      <c r="AG159" s="83">
        <f>IF(AQ159="2",BI159,0)</f>
        <v>0</v>
      </c>
      <c r="AH159" s="83">
        <f>IF(AQ159="0",BJ159,0)</f>
        <v>0</v>
      </c>
      <c r="AI159" s="72" t="s">
        <v>49</v>
      </c>
      <c r="AJ159" s="83">
        <f>IF(AN159=0,M159,0)</f>
        <v>0</v>
      </c>
      <c r="AK159" s="83">
        <f>IF(AN159=15,M159,0)</f>
        <v>0</v>
      </c>
      <c r="AL159" s="83">
        <f>IF(AN159=21,M159,0)</f>
        <v>0</v>
      </c>
      <c r="AN159" s="83">
        <v>21</v>
      </c>
      <c r="AO159" s="83">
        <f>L159*0</f>
        <v>0</v>
      </c>
      <c r="AP159" s="83">
        <f>L159*(1-0)</f>
        <v>0</v>
      </c>
      <c r="AQ159" s="85" t="s">
        <v>52</v>
      </c>
      <c r="AV159" s="83">
        <f>AW159+AX159</f>
        <v>0</v>
      </c>
      <c r="AW159" s="83">
        <f>K159*AO159</f>
        <v>0</v>
      </c>
      <c r="AX159" s="83">
        <f>K159*AP159</f>
        <v>0</v>
      </c>
      <c r="AY159" s="85" t="s">
        <v>305</v>
      </c>
      <c r="AZ159" s="85" t="s">
        <v>57</v>
      </c>
      <c r="BA159" s="72" t="s">
        <v>58</v>
      </c>
      <c r="BC159" s="83">
        <f>AW159+AX159</f>
        <v>0</v>
      </c>
      <c r="BD159" s="83">
        <f>L159/(100-BE159)*100</f>
        <v>0</v>
      </c>
      <c r="BE159" s="83">
        <v>0</v>
      </c>
      <c r="BF159" s="83">
        <f>159</f>
        <v>159</v>
      </c>
      <c r="BH159" s="83">
        <f>K159*AO159</f>
        <v>0</v>
      </c>
      <c r="BI159" s="83">
        <f>K159*AP159</f>
        <v>0</v>
      </c>
      <c r="BJ159" s="83">
        <f>K159*L159</f>
        <v>0</v>
      </c>
      <c r="BK159" s="83"/>
      <c r="BL159" s="83">
        <v>17</v>
      </c>
    </row>
    <row r="160" spans="1:13" ht="15" customHeight="1">
      <c r="A160" s="86"/>
      <c r="C160" s="87" t="s">
        <v>176</v>
      </c>
      <c r="I160" s="87" t="s">
        <v>310</v>
      </c>
      <c r="K160" s="88">
        <v>20</v>
      </c>
      <c r="M160" s="89"/>
    </row>
    <row r="161" spans="1:13" ht="15" customHeight="1">
      <c r="A161" s="86"/>
      <c r="C161" s="87" t="s">
        <v>311</v>
      </c>
      <c r="I161" s="87" t="s">
        <v>312</v>
      </c>
      <c r="K161" s="88">
        <v>51.00000000000001</v>
      </c>
      <c r="M161" s="89"/>
    </row>
    <row r="162" spans="1:13" ht="15" customHeight="1">
      <c r="A162" s="86"/>
      <c r="C162" s="87" t="s">
        <v>313</v>
      </c>
      <c r="I162" s="87" t="s">
        <v>314</v>
      </c>
      <c r="K162" s="88">
        <v>115.2</v>
      </c>
      <c r="M162" s="89"/>
    </row>
    <row r="163" spans="1:13" ht="13.5" customHeight="1">
      <c r="A163" s="86"/>
      <c r="B163" s="90" t="s">
        <v>60</v>
      </c>
      <c r="C163" s="161" t="s">
        <v>315</v>
      </c>
      <c r="D163" s="162"/>
      <c r="E163" s="162"/>
      <c r="F163" s="162"/>
      <c r="G163" s="162"/>
      <c r="H163" s="162"/>
      <c r="I163" s="162"/>
      <c r="J163" s="162"/>
      <c r="K163" s="162"/>
      <c r="L163" s="162"/>
      <c r="M163" s="163"/>
    </row>
    <row r="164" spans="1:64" ht="15" customHeight="1">
      <c r="A164" s="65" t="s">
        <v>302</v>
      </c>
      <c r="B164" s="66" t="s">
        <v>317</v>
      </c>
      <c r="C164" s="150" t="s">
        <v>318</v>
      </c>
      <c r="D164" s="150"/>
      <c r="E164" s="150"/>
      <c r="F164" s="150"/>
      <c r="G164" s="150"/>
      <c r="H164" s="150"/>
      <c r="I164" s="150"/>
      <c r="J164" s="66" t="s">
        <v>293</v>
      </c>
      <c r="K164" s="83">
        <v>230.4</v>
      </c>
      <c r="L164" s="108"/>
      <c r="M164" s="84">
        <f>K164*L164</f>
        <v>0</v>
      </c>
      <c r="Z164" s="83">
        <f>IF(AQ164="5",BJ164,0)</f>
        <v>0</v>
      </c>
      <c r="AB164" s="83">
        <f>IF(AQ164="1",BH164,0)</f>
        <v>0</v>
      </c>
      <c r="AC164" s="83">
        <f>IF(AQ164="1",BI164,0)</f>
        <v>0</v>
      </c>
      <c r="AD164" s="83">
        <f>IF(AQ164="7",BH164,0)</f>
        <v>0</v>
      </c>
      <c r="AE164" s="83">
        <f>IF(AQ164="7",BI164,0)</f>
        <v>0</v>
      </c>
      <c r="AF164" s="83">
        <f>IF(AQ164="2",BH164,0)</f>
        <v>0</v>
      </c>
      <c r="AG164" s="83">
        <f>IF(AQ164="2",BI164,0)</f>
        <v>0</v>
      </c>
      <c r="AH164" s="83">
        <f>IF(AQ164="0",BJ164,0)</f>
        <v>0</v>
      </c>
      <c r="AI164" s="72" t="s">
        <v>49</v>
      </c>
      <c r="AJ164" s="83">
        <f>IF(AN164=0,M164,0)</f>
        <v>0</v>
      </c>
      <c r="AK164" s="83">
        <f>IF(AN164=15,M164,0)</f>
        <v>0</v>
      </c>
      <c r="AL164" s="83">
        <f>IF(AN164=21,M164,0)</f>
        <v>0</v>
      </c>
      <c r="AN164" s="83">
        <v>21</v>
      </c>
      <c r="AO164" s="83">
        <f>L164*1</f>
        <v>0</v>
      </c>
      <c r="AP164" s="83">
        <f>L164*(1-1)</f>
        <v>0</v>
      </c>
      <c r="AQ164" s="85" t="s">
        <v>52</v>
      </c>
      <c r="AV164" s="83">
        <f>AW164+AX164</f>
        <v>0</v>
      </c>
      <c r="AW164" s="83">
        <f>K164*AO164</f>
        <v>0</v>
      </c>
      <c r="AX164" s="83">
        <f>K164*AP164</f>
        <v>0</v>
      </c>
      <c r="AY164" s="85" t="s">
        <v>305</v>
      </c>
      <c r="AZ164" s="85" t="s">
        <v>57</v>
      </c>
      <c r="BA164" s="72" t="s">
        <v>58</v>
      </c>
      <c r="BC164" s="83">
        <f>AW164+AX164</f>
        <v>0</v>
      </c>
      <c r="BD164" s="83">
        <f>L164/(100-BE164)*100</f>
        <v>0</v>
      </c>
      <c r="BE164" s="83">
        <v>0</v>
      </c>
      <c r="BF164" s="83">
        <f>164</f>
        <v>164</v>
      </c>
      <c r="BH164" s="83">
        <f>K164*AO164</f>
        <v>0</v>
      </c>
      <c r="BI164" s="83">
        <f>K164*AP164</f>
        <v>0</v>
      </c>
      <c r="BJ164" s="83">
        <f>K164*L164</f>
        <v>0</v>
      </c>
      <c r="BK164" s="83"/>
      <c r="BL164" s="83">
        <v>17</v>
      </c>
    </row>
    <row r="165" spans="1:13" ht="15" customHeight="1">
      <c r="A165" s="86"/>
      <c r="C165" s="87" t="s">
        <v>319</v>
      </c>
      <c r="I165" s="87" t="s">
        <v>49</v>
      </c>
      <c r="K165" s="88">
        <v>230.4</v>
      </c>
      <c r="M165" s="89"/>
    </row>
    <row r="166" spans="1:64" ht="15" customHeight="1">
      <c r="A166" s="65" t="s">
        <v>307</v>
      </c>
      <c r="B166" s="66" t="s">
        <v>321</v>
      </c>
      <c r="C166" s="150" t="s">
        <v>322</v>
      </c>
      <c r="D166" s="150"/>
      <c r="E166" s="150"/>
      <c r="F166" s="150"/>
      <c r="G166" s="150"/>
      <c r="H166" s="150"/>
      <c r="I166" s="150"/>
      <c r="J166" s="66" t="s">
        <v>226</v>
      </c>
      <c r="K166" s="83">
        <v>18</v>
      </c>
      <c r="L166" s="108"/>
      <c r="M166" s="84">
        <f>K166*L166</f>
        <v>0</v>
      </c>
      <c r="Z166" s="83">
        <f>IF(AQ166="5",BJ166,0)</f>
        <v>0</v>
      </c>
      <c r="AB166" s="83">
        <f>IF(AQ166="1",BH166,0)</f>
        <v>0</v>
      </c>
      <c r="AC166" s="83">
        <f>IF(AQ166="1",BI166,0)</f>
        <v>0</v>
      </c>
      <c r="AD166" s="83">
        <f>IF(AQ166="7",BH166,0)</f>
        <v>0</v>
      </c>
      <c r="AE166" s="83">
        <f>IF(AQ166="7",BI166,0)</f>
        <v>0</v>
      </c>
      <c r="AF166" s="83">
        <f>IF(AQ166="2",BH166,0)</f>
        <v>0</v>
      </c>
      <c r="AG166" s="83">
        <f>IF(AQ166="2",BI166,0)</f>
        <v>0</v>
      </c>
      <c r="AH166" s="83">
        <f>IF(AQ166="0",BJ166,0)</f>
        <v>0</v>
      </c>
      <c r="AI166" s="72" t="s">
        <v>49</v>
      </c>
      <c r="AJ166" s="83">
        <f>IF(AN166=0,M166,0)</f>
        <v>0</v>
      </c>
      <c r="AK166" s="83">
        <f>IF(AN166=15,M166,0)</f>
        <v>0</v>
      </c>
      <c r="AL166" s="83">
        <f>IF(AN166=21,M166,0)</f>
        <v>0</v>
      </c>
      <c r="AN166" s="83">
        <v>21</v>
      </c>
      <c r="AO166" s="83">
        <f>L166*0.382794001578532</f>
        <v>0</v>
      </c>
      <c r="AP166" s="83">
        <f>L166*(1-0.382794001578532)</f>
        <v>0</v>
      </c>
      <c r="AQ166" s="85" t="s">
        <v>52</v>
      </c>
      <c r="AV166" s="83">
        <f>AW166+AX166</f>
        <v>0</v>
      </c>
      <c r="AW166" s="83">
        <f>K166*AO166</f>
        <v>0</v>
      </c>
      <c r="AX166" s="83">
        <f>K166*AP166</f>
        <v>0</v>
      </c>
      <c r="AY166" s="85" t="s">
        <v>305</v>
      </c>
      <c r="AZ166" s="85" t="s">
        <v>57</v>
      </c>
      <c r="BA166" s="72" t="s">
        <v>58</v>
      </c>
      <c r="BC166" s="83">
        <f>AW166+AX166</f>
        <v>0</v>
      </c>
      <c r="BD166" s="83">
        <f>L166/(100-BE166)*100</f>
        <v>0</v>
      </c>
      <c r="BE166" s="83">
        <v>0</v>
      </c>
      <c r="BF166" s="83">
        <f>166</f>
        <v>166</v>
      </c>
      <c r="BH166" s="83">
        <f>K166*AO166</f>
        <v>0</v>
      </c>
      <c r="BI166" s="83">
        <f>K166*AP166</f>
        <v>0</v>
      </c>
      <c r="BJ166" s="83">
        <f>K166*L166</f>
        <v>0</v>
      </c>
      <c r="BK166" s="83"/>
      <c r="BL166" s="83">
        <v>17</v>
      </c>
    </row>
    <row r="167" spans="1:13" ht="15" customHeight="1">
      <c r="A167" s="86"/>
      <c r="C167" s="87" t="s">
        <v>161</v>
      </c>
      <c r="I167" s="87" t="s">
        <v>312</v>
      </c>
      <c r="K167" s="88">
        <v>18</v>
      </c>
      <c r="M167" s="89"/>
    </row>
    <row r="168" spans="1:47" ht="15" customHeight="1">
      <c r="A168" s="78" t="s">
        <v>49</v>
      </c>
      <c r="B168" s="79" t="s">
        <v>161</v>
      </c>
      <c r="C168" s="168" t="s">
        <v>323</v>
      </c>
      <c r="D168" s="168"/>
      <c r="E168" s="168"/>
      <c r="F168" s="168"/>
      <c r="G168" s="168"/>
      <c r="H168" s="168"/>
      <c r="I168" s="168"/>
      <c r="J168" s="80" t="s">
        <v>3</v>
      </c>
      <c r="K168" s="80" t="s">
        <v>3</v>
      </c>
      <c r="L168" s="80" t="s">
        <v>3</v>
      </c>
      <c r="M168" s="81">
        <f>SUM(M169:M172)</f>
        <v>0</v>
      </c>
      <c r="AI168" s="72" t="s">
        <v>49</v>
      </c>
      <c r="AS168" s="82">
        <f>SUM(AJ169:AJ172)</f>
        <v>0</v>
      </c>
      <c r="AT168" s="82">
        <f>SUM(AK169:AK172)</f>
        <v>0</v>
      </c>
      <c r="AU168" s="82">
        <f>SUM(AL169:AL172)</f>
        <v>0</v>
      </c>
    </row>
    <row r="169" spans="1:64" ht="15" customHeight="1">
      <c r="A169" s="65" t="s">
        <v>316</v>
      </c>
      <c r="B169" s="66" t="s">
        <v>325</v>
      </c>
      <c r="C169" s="150" t="s">
        <v>326</v>
      </c>
      <c r="D169" s="150"/>
      <c r="E169" s="150"/>
      <c r="F169" s="150"/>
      <c r="G169" s="150"/>
      <c r="H169" s="150"/>
      <c r="I169" s="150"/>
      <c r="J169" s="66" t="s">
        <v>79</v>
      </c>
      <c r="K169" s="83">
        <v>4286</v>
      </c>
      <c r="L169" s="108"/>
      <c r="M169" s="84">
        <f>K169*L169</f>
        <v>0</v>
      </c>
      <c r="Z169" s="83">
        <f>IF(AQ169="5",BJ169,0)</f>
        <v>0</v>
      </c>
      <c r="AB169" s="83">
        <f>IF(AQ169="1",BH169,0)</f>
        <v>0</v>
      </c>
      <c r="AC169" s="83">
        <f>IF(AQ169="1",BI169,0)</f>
        <v>0</v>
      </c>
      <c r="AD169" s="83">
        <f>IF(AQ169="7",BH169,0)</f>
        <v>0</v>
      </c>
      <c r="AE169" s="83">
        <f>IF(AQ169="7",BI169,0)</f>
        <v>0</v>
      </c>
      <c r="AF169" s="83">
        <f>IF(AQ169="2",BH169,0)</f>
        <v>0</v>
      </c>
      <c r="AG169" s="83">
        <f>IF(AQ169="2",BI169,0)</f>
        <v>0</v>
      </c>
      <c r="AH169" s="83">
        <f>IF(AQ169="0",BJ169,0)</f>
        <v>0</v>
      </c>
      <c r="AI169" s="72" t="s">
        <v>49</v>
      </c>
      <c r="AJ169" s="83">
        <f>IF(AN169=0,M169,0)</f>
        <v>0</v>
      </c>
      <c r="AK169" s="83">
        <f>IF(AN169=15,M169,0)</f>
        <v>0</v>
      </c>
      <c r="AL169" s="83">
        <f>IF(AN169=21,M169,0)</f>
        <v>0</v>
      </c>
      <c r="AN169" s="83">
        <v>21</v>
      </c>
      <c r="AO169" s="83">
        <f>L169*0</f>
        <v>0</v>
      </c>
      <c r="AP169" s="83">
        <f>L169*(1-0)</f>
        <v>0</v>
      </c>
      <c r="AQ169" s="85" t="s">
        <v>52</v>
      </c>
      <c r="AV169" s="83">
        <f>AW169+AX169</f>
        <v>0</v>
      </c>
      <c r="AW169" s="83">
        <f>K169*AO169</f>
        <v>0</v>
      </c>
      <c r="AX169" s="83">
        <f>K169*AP169</f>
        <v>0</v>
      </c>
      <c r="AY169" s="85" t="s">
        <v>327</v>
      </c>
      <c r="AZ169" s="85" t="s">
        <v>57</v>
      </c>
      <c r="BA169" s="72" t="s">
        <v>58</v>
      </c>
      <c r="BC169" s="83">
        <f>AW169+AX169</f>
        <v>0</v>
      </c>
      <c r="BD169" s="83">
        <f>L169/(100-BE169)*100</f>
        <v>0</v>
      </c>
      <c r="BE169" s="83">
        <v>0</v>
      </c>
      <c r="BF169" s="83">
        <f>169</f>
        <v>169</v>
      </c>
      <c r="BH169" s="83">
        <f>K169*AO169</f>
        <v>0</v>
      </c>
      <c r="BI169" s="83">
        <f>K169*AP169</f>
        <v>0</v>
      </c>
      <c r="BJ169" s="83">
        <f>K169*L169</f>
        <v>0</v>
      </c>
      <c r="BK169" s="83"/>
      <c r="BL169" s="83">
        <v>18</v>
      </c>
    </row>
    <row r="170" spans="1:13" ht="15" customHeight="1">
      <c r="A170" s="86"/>
      <c r="C170" s="87" t="s">
        <v>328</v>
      </c>
      <c r="I170" s="87" t="s">
        <v>49</v>
      </c>
      <c r="K170" s="88">
        <v>4286</v>
      </c>
      <c r="M170" s="89"/>
    </row>
    <row r="171" spans="1:13" ht="13.5" customHeight="1">
      <c r="A171" s="86"/>
      <c r="B171" s="90" t="s">
        <v>60</v>
      </c>
      <c r="C171" s="161" t="s">
        <v>329</v>
      </c>
      <c r="D171" s="162"/>
      <c r="E171" s="162"/>
      <c r="F171" s="162"/>
      <c r="G171" s="162"/>
      <c r="H171" s="162"/>
      <c r="I171" s="162"/>
      <c r="J171" s="162"/>
      <c r="K171" s="162"/>
      <c r="L171" s="162"/>
      <c r="M171" s="163"/>
    </row>
    <row r="172" spans="1:64" ht="15" customHeight="1">
      <c r="A172" s="65" t="s">
        <v>320</v>
      </c>
      <c r="B172" s="66" t="s">
        <v>330</v>
      </c>
      <c r="C172" s="150" t="s">
        <v>331</v>
      </c>
      <c r="D172" s="150"/>
      <c r="E172" s="150"/>
      <c r="F172" s="150"/>
      <c r="G172" s="150"/>
      <c r="H172" s="150"/>
      <c r="I172" s="150"/>
      <c r="J172" s="66" t="s">
        <v>79</v>
      </c>
      <c r="K172" s="83">
        <v>102</v>
      </c>
      <c r="L172" s="108"/>
      <c r="M172" s="84">
        <f>K172*L172</f>
        <v>0</v>
      </c>
      <c r="Z172" s="83">
        <f>IF(AQ172="5",BJ172,0)</f>
        <v>0</v>
      </c>
      <c r="AB172" s="83">
        <f>IF(AQ172="1",BH172,0)</f>
        <v>0</v>
      </c>
      <c r="AC172" s="83">
        <f>IF(AQ172="1",BI172,0)</f>
        <v>0</v>
      </c>
      <c r="AD172" s="83">
        <f>IF(AQ172="7",BH172,0)</f>
        <v>0</v>
      </c>
      <c r="AE172" s="83">
        <f>IF(AQ172="7",BI172,0)</f>
        <v>0</v>
      </c>
      <c r="AF172" s="83">
        <f>IF(AQ172="2",BH172,0)</f>
        <v>0</v>
      </c>
      <c r="AG172" s="83">
        <f>IF(AQ172="2",BI172,0)</f>
        <v>0</v>
      </c>
      <c r="AH172" s="83">
        <f>IF(AQ172="0",BJ172,0)</f>
        <v>0</v>
      </c>
      <c r="AI172" s="72" t="s">
        <v>49</v>
      </c>
      <c r="AJ172" s="83">
        <f>IF(AN172=0,M172,0)</f>
        <v>0</v>
      </c>
      <c r="AK172" s="83">
        <f>IF(AN172=15,M172,0)</f>
        <v>0</v>
      </c>
      <c r="AL172" s="83">
        <f>IF(AN172=21,M172,0)</f>
        <v>0</v>
      </c>
      <c r="AN172" s="83">
        <v>21</v>
      </c>
      <c r="AO172" s="83">
        <f>L172*0</f>
        <v>0</v>
      </c>
      <c r="AP172" s="83">
        <f>L172*(1-0)</f>
        <v>0</v>
      </c>
      <c r="AQ172" s="85" t="s">
        <v>52</v>
      </c>
      <c r="AV172" s="83">
        <f>AW172+AX172</f>
        <v>0</v>
      </c>
      <c r="AW172" s="83">
        <f>K172*AO172</f>
        <v>0</v>
      </c>
      <c r="AX172" s="83">
        <f>K172*AP172</f>
        <v>0</v>
      </c>
      <c r="AY172" s="85" t="s">
        <v>327</v>
      </c>
      <c r="AZ172" s="85" t="s">
        <v>57</v>
      </c>
      <c r="BA172" s="72" t="s">
        <v>58</v>
      </c>
      <c r="BC172" s="83">
        <f>AW172+AX172</f>
        <v>0</v>
      </c>
      <c r="BD172" s="83">
        <f>L172/(100-BE172)*100</f>
        <v>0</v>
      </c>
      <c r="BE172" s="83">
        <v>0</v>
      </c>
      <c r="BF172" s="83">
        <f>172</f>
        <v>172</v>
      </c>
      <c r="BH172" s="83">
        <f>K172*AO172</f>
        <v>0</v>
      </c>
      <c r="BI172" s="83">
        <f>K172*AP172</f>
        <v>0</v>
      </c>
      <c r="BJ172" s="83">
        <f>K172*L172</f>
        <v>0</v>
      </c>
      <c r="BK172" s="83"/>
      <c r="BL172" s="83">
        <v>18</v>
      </c>
    </row>
    <row r="173" spans="1:13" ht="15" customHeight="1">
      <c r="A173" s="86"/>
      <c r="C173" s="87" t="s">
        <v>332</v>
      </c>
      <c r="I173" s="87" t="s">
        <v>333</v>
      </c>
      <c r="K173" s="88">
        <v>102.00000000000001</v>
      </c>
      <c r="M173" s="89"/>
    </row>
    <row r="174" spans="1:47" ht="15" customHeight="1">
      <c r="A174" s="78" t="s">
        <v>49</v>
      </c>
      <c r="B174" s="79" t="s">
        <v>166</v>
      </c>
      <c r="C174" s="168" t="s">
        <v>334</v>
      </c>
      <c r="D174" s="168"/>
      <c r="E174" s="168"/>
      <c r="F174" s="168"/>
      <c r="G174" s="168"/>
      <c r="H174" s="168"/>
      <c r="I174" s="168"/>
      <c r="J174" s="80" t="s">
        <v>3</v>
      </c>
      <c r="K174" s="80" t="s">
        <v>3</v>
      </c>
      <c r="L174" s="80" t="s">
        <v>3</v>
      </c>
      <c r="M174" s="81">
        <f>SUM(M175:M175)</f>
        <v>0</v>
      </c>
      <c r="AI174" s="72" t="s">
        <v>49</v>
      </c>
      <c r="AS174" s="82">
        <f>SUM(AJ175:AJ175)</f>
        <v>0</v>
      </c>
      <c r="AT174" s="82">
        <f>SUM(AK175:AK175)</f>
        <v>0</v>
      </c>
      <c r="AU174" s="82">
        <f>SUM(AL175:AL175)</f>
        <v>0</v>
      </c>
    </row>
    <row r="175" spans="1:64" ht="15" customHeight="1">
      <c r="A175" s="65" t="s">
        <v>324</v>
      </c>
      <c r="B175" s="66" t="s">
        <v>335</v>
      </c>
      <c r="C175" s="150" t="s">
        <v>336</v>
      </c>
      <c r="D175" s="150"/>
      <c r="E175" s="150"/>
      <c r="F175" s="150"/>
      <c r="G175" s="150"/>
      <c r="H175" s="150"/>
      <c r="I175" s="150"/>
      <c r="J175" s="66" t="s">
        <v>293</v>
      </c>
      <c r="K175" s="83">
        <v>2186.4</v>
      </c>
      <c r="L175" s="108"/>
      <c r="M175" s="84">
        <f>K175*L175</f>
        <v>0</v>
      </c>
      <c r="Z175" s="83">
        <f>IF(AQ175="5",BJ175,0)</f>
        <v>0</v>
      </c>
      <c r="AB175" s="83">
        <f>IF(AQ175="1",BH175,0)</f>
        <v>0</v>
      </c>
      <c r="AC175" s="83">
        <f>IF(AQ175="1",BI175,0)</f>
        <v>0</v>
      </c>
      <c r="AD175" s="83">
        <f>IF(AQ175="7",BH175,0)</f>
        <v>0</v>
      </c>
      <c r="AE175" s="83">
        <f>IF(AQ175="7",BI175,0)</f>
        <v>0</v>
      </c>
      <c r="AF175" s="83">
        <f>IF(AQ175="2",BH175,0)</f>
        <v>0</v>
      </c>
      <c r="AG175" s="83">
        <f>IF(AQ175="2",BI175,0)</f>
        <v>0</v>
      </c>
      <c r="AH175" s="83">
        <f>IF(AQ175="0",BJ175,0)</f>
        <v>0</v>
      </c>
      <c r="AI175" s="72" t="s">
        <v>49</v>
      </c>
      <c r="AJ175" s="83">
        <f>IF(AN175=0,M175,0)</f>
        <v>0</v>
      </c>
      <c r="AK175" s="83">
        <f>IF(AN175=15,M175,0)</f>
        <v>0</v>
      </c>
      <c r="AL175" s="83">
        <f>IF(AN175=21,M175,0)</f>
        <v>0</v>
      </c>
      <c r="AN175" s="83">
        <v>21</v>
      </c>
      <c r="AO175" s="83">
        <f>L175*0</f>
        <v>0</v>
      </c>
      <c r="AP175" s="83">
        <f>L175*(1-0)</f>
        <v>0</v>
      </c>
      <c r="AQ175" s="85" t="s">
        <v>52</v>
      </c>
      <c r="AV175" s="83">
        <f>AW175+AX175</f>
        <v>0</v>
      </c>
      <c r="AW175" s="83">
        <f>K175*AO175</f>
        <v>0</v>
      </c>
      <c r="AX175" s="83">
        <f>K175*AP175</f>
        <v>0</v>
      </c>
      <c r="AY175" s="85" t="s">
        <v>337</v>
      </c>
      <c r="AZ175" s="85" t="s">
        <v>57</v>
      </c>
      <c r="BA175" s="72" t="s">
        <v>58</v>
      </c>
      <c r="BC175" s="83">
        <f>AW175+AX175</f>
        <v>0</v>
      </c>
      <c r="BD175" s="83">
        <f>L175/(100-BE175)*100</f>
        <v>0</v>
      </c>
      <c r="BE175" s="83">
        <v>0</v>
      </c>
      <c r="BF175" s="83">
        <f>175</f>
        <v>175</v>
      </c>
      <c r="BH175" s="83">
        <f>K175*AO175</f>
        <v>0</v>
      </c>
      <c r="BI175" s="83">
        <f>K175*AP175</f>
        <v>0</v>
      </c>
      <c r="BJ175" s="83">
        <f>K175*L175</f>
        <v>0</v>
      </c>
      <c r="BK175" s="83"/>
      <c r="BL175" s="83">
        <v>19</v>
      </c>
    </row>
    <row r="176" spans="1:13" ht="15" customHeight="1">
      <c r="A176" s="86"/>
      <c r="C176" s="87" t="s">
        <v>338</v>
      </c>
      <c r="I176" s="87" t="s">
        <v>49</v>
      </c>
      <c r="K176" s="88">
        <v>2186.4</v>
      </c>
      <c r="M176" s="89"/>
    </row>
    <row r="177" spans="1:47" ht="15" customHeight="1">
      <c r="A177" s="78" t="s">
        <v>49</v>
      </c>
      <c r="B177" s="79" t="s">
        <v>183</v>
      </c>
      <c r="C177" s="168" t="s">
        <v>339</v>
      </c>
      <c r="D177" s="168"/>
      <c r="E177" s="168"/>
      <c r="F177" s="168"/>
      <c r="G177" s="168"/>
      <c r="H177" s="168"/>
      <c r="I177" s="168"/>
      <c r="J177" s="80" t="s">
        <v>3</v>
      </c>
      <c r="K177" s="80" t="s">
        <v>3</v>
      </c>
      <c r="L177" s="80" t="s">
        <v>3</v>
      </c>
      <c r="M177" s="81">
        <f>SUM(M178:M187)</f>
        <v>0</v>
      </c>
      <c r="AI177" s="72" t="s">
        <v>49</v>
      </c>
      <c r="AS177" s="82">
        <f>SUM(AJ178:AJ187)</f>
        <v>0</v>
      </c>
      <c r="AT177" s="82">
        <f>SUM(AK178:AK187)</f>
        <v>0</v>
      </c>
      <c r="AU177" s="82">
        <f>SUM(AL178:AL187)</f>
        <v>0</v>
      </c>
    </row>
    <row r="178" spans="1:64" ht="15" customHeight="1">
      <c r="A178" s="65" t="s">
        <v>300</v>
      </c>
      <c r="B178" s="66" t="s">
        <v>341</v>
      </c>
      <c r="C178" s="150" t="s">
        <v>342</v>
      </c>
      <c r="D178" s="150"/>
      <c r="E178" s="150"/>
      <c r="F178" s="150"/>
      <c r="G178" s="150"/>
      <c r="H178" s="150"/>
      <c r="I178" s="150"/>
      <c r="J178" s="66" t="s">
        <v>191</v>
      </c>
      <c r="K178" s="83">
        <v>340</v>
      </c>
      <c r="L178" s="108"/>
      <c r="M178" s="84">
        <f>K178*L178</f>
        <v>0</v>
      </c>
      <c r="Z178" s="83">
        <f>IF(AQ178="5",BJ178,0)</f>
        <v>0</v>
      </c>
      <c r="AB178" s="83">
        <f>IF(AQ178="1",BH178,0)</f>
        <v>0</v>
      </c>
      <c r="AC178" s="83">
        <f>IF(AQ178="1",BI178,0)</f>
        <v>0</v>
      </c>
      <c r="AD178" s="83">
        <f>IF(AQ178="7",BH178,0)</f>
        <v>0</v>
      </c>
      <c r="AE178" s="83">
        <f>IF(AQ178="7",BI178,0)</f>
        <v>0</v>
      </c>
      <c r="AF178" s="83">
        <f>IF(AQ178="2",BH178,0)</f>
        <v>0</v>
      </c>
      <c r="AG178" s="83">
        <f>IF(AQ178="2",BI178,0)</f>
        <v>0</v>
      </c>
      <c r="AH178" s="83">
        <f>IF(AQ178="0",BJ178,0)</f>
        <v>0</v>
      </c>
      <c r="AI178" s="72" t="s">
        <v>49</v>
      </c>
      <c r="AJ178" s="83">
        <f>IF(AN178=0,M178,0)</f>
        <v>0</v>
      </c>
      <c r="AK178" s="83">
        <f>IF(AN178=15,M178,0)</f>
        <v>0</v>
      </c>
      <c r="AL178" s="83">
        <f>IF(AN178=21,M178,0)</f>
        <v>0</v>
      </c>
      <c r="AN178" s="83">
        <v>21</v>
      </c>
      <c r="AO178" s="83">
        <f>L178*0</f>
        <v>0</v>
      </c>
      <c r="AP178" s="83">
        <f>L178*(1-0)</f>
        <v>0</v>
      </c>
      <c r="AQ178" s="85" t="s">
        <v>52</v>
      </c>
      <c r="AV178" s="83">
        <f>AW178+AX178</f>
        <v>0</v>
      </c>
      <c r="AW178" s="83">
        <f>K178*AO178</f>
        <v>0</v>
      </c>
      <c r="AX178" s="83">
        <f>K178*AP178</f>
        <v>0</v>
      </c>
      <c r="AY178" s="85" t="s">
        <v>343</v>
      </c>
      <c r="AZ178" s="85" t="s">
        <v>344</v>
      </c>
      <c r="BA178" s="72" t="s">
        <v>58</v>
      </c>
      <c r="BC178" s="83">
        <f>AW178+AX178</f>
        <v>0</v>
      </c>
      <c r="BD178" s="83">
        <f>L178/(100-BE178)*100</f>
        <v>0</v>
      </c>
      <c r="BE178" s="83">
        <v>0</v>
      </c>
      <c r="BF178" s="83">
        <f>178</f>
        <v>178</v>
      </c>
      <c r="BH178" s="83">
        <f>K178*AO178</f>
        <v>0</v>
      </c>
      <c r="BI178" s="83">
        <f>K178*AP178</f>
        <v>0</v>
      </c>
      <c r="BJ178" s="83">
        <f>K178*L178</f>
        <v>0</v>
      </c>
      <c r="BK178" s="83"/>
      <c r="BL178" s="83">
        <v>21</v>
      </c>
    </row>
    <row r="179" spans="1:13" ht="15" customHeight="1">
      <c r="A179" s="86"/>
      <c r="C179" s="87" t="s">
        <v>345</v>
      </c>
      <c r="I179" s="87" t="s">
        <v>49</v>
      </c>
      <c r="K179" s="88">
        <v>340</v>
      </c>
      <c r="M179" s="89"/>
    </row>
    <row r="180" spans="1:64" ht="15" customHeight="1">
      <c r="A180" s="65" t="s">
        <v>311</v>
      </c>
      <c r="B180" s="66" t="s">
        <v>347</v>
      </c>
      <c r="C180" s="150" t="s">
        <v>348</v>
      </c>
      <c r="D180" s="150"/>
      <c r="E180" s="150"/>
      <c r="F180" s="150"/>
      <c r="G180" s="150"/>
      <c r="H180" s="150"/>
      <c r="I180" s="150"/>
      <c r="J180" s="66" t="s">
        <v>191</v>
      </c>
      <c r="K180" s="83">
        <v>350.2</v>
      </c>
      <c r="L180" s="108"/>
      <c r="M180" s="84">
        <f>K180*L180</f>
        <v>0</v>
      </c>
      <c r="Z180" s="83">
        <f>IF(AQ180="5",BJ180,0)</f>
        <v>0</v>
      </c>
      <c r="AB180" s="83">
        <f>IF(AQ180="1",BH180,0)</f>
        <v>0</v>
      </c>
      <c r="AC180" s="83">
        <f>IF(AQ180="1",BI180,0)</f>
        <v>0</v>
      </c>
      <c r="AD180" s="83">
        <f>IF(AQ180="7",BH180,0)</f>
        <v>0</v>
      </c>
      <c r="AE180" s="83">
        <f>IF(AQ180="7",BI180,0)</f>
        <v>0</v>
      </c>
      <c r="AF180" s="83">
        <f>IF(AQ180="2",BH180,0)</f>
        <v>0</v>
      </c>
      <c r="AG180" s="83">
        <f>IF(AQ180="2",BI180,0)</f>
        <v>0</v>
      </c>
      <c r="AH180" s="83">
        <f>IF(AQ180="0",BJ180,0)</f>
        <v>0</v>
      </c>
      <c r="AI180" s="72" t="s">
        <v>49</v>
      </c>
      <c r="AJ180" s="83">
        <f>IF(AN180=0,M180,0)</f>
        <v>0</v>
      </c>
      <c r="AK180" s="83">
        <f>IF(AN180=15,M180,0)</f>
        <v>0</v>
      </c>
      <c r="AL180" s="83">
        <f>IF(AN180=21,M180,0)</f>
        <v>0</v>
      </c>
      <c r="AN180" s="83">
        <v>21</v>
      </c>
      <c r="AO180" s="83">
        <f>L180*1</f>
        <v>0</v>
      </c>
      <c r="AP180" s="83">
        <f>L180*(1-1)</f>
        <v>0</v>
      </c>
      <c r="AQ180" s="85" t="s">
        <v>52</v>
      </c>
      <c r="AV180" s="83">
        <f>AW180+AX180</f>
        <v>0</v>
      </c>
      <c r="AW180" s="83">
        <f>K180*AO180</f>
        <v>0</v>
      </c>
      <c r="AX180" s="83">
        <f>K180*AP180</f>
        <v>0</v>
      </c>
      <c r="AY180" s="85" t="s">
        <v>343</v>
      </c>
      <c r="AZ180" s="85" t="s">
        <v>344</v>
      </c>
      <c r="BA180" s="72" t="s">
        <v>58</v>
      </c>
      <c r="BC180" s="83">
        <f>AW180+AX180</f>
        <v>0</v>
      </c>
      <c r="BD180" s="83">
        <f>L180/(100-BE180)*100</f>
        <v>0</v>
      </c>
      <c r="BE180" s="83">
        <v>0</v>
      </c>
      <c r="BF180" s="83">
        <f>180</f>
        <v>180</v>
      </c>
      <c r="BH180" s="83">
        <f>K180*AO180</f>
        <v>0</v>
      </c>
      <c r="BI180" s="83">
        <f>K180*AP180</f>
        <v>0</v>
      </c>
      <c r="BJ180" s="83">
        <f>K180*L180</f>
        <v>0</v>
      </c>
      <c r="BK180" s="83"/>
      <c r="BL180" s="83">
        <v>21</v>
      </c>
    </row>
    <row r="181" spans="1:13" ht="15" customHeight="1">
      <c r="A181" s="86"/>
      <c r="C181" s="87" t="s">
        <v>345</v>
      </c>
      <c r="I181" s="87" t="s">
        <v>49</v>
      </c>
      <c r="K181" s="88">
        <v>340</v>
      </c>
      <c r="M181" s="89"/>
    </row>
    <row r="182" spans="1:13" ht="15" customHeight="1">
      <c r="A182" s="86"/>
      <c r="C182" s="87" t="s">
        <v>349</v>
      </c>
      <c r="I182" s="87" t="s">
        <v>49</v>
      </c>
      <c r="K182" s="88">
        <v>10.200000000000001</v>
      </c>
      <c r="M182" s="89"/>
    </row>
    <row r="183" spans="1:64" ht="15" customHeight="1">
      <c r="A183" s="65" t="s">
        <v>340</v>
      </c>
      <c r="B183" s="66" t="s">
        <v>351</v>
      </c>
      <c r="C183" s="150" t="s">
        <v>352</v>
      </c>
      <c r="D183" s="150"/>
      <c r="E183" s="150"/>
      <c r="F183" s="150"/>
      <c r="G183" s="150"/>
      <c r="H183" s="150"/>
      <c r="I183" s="150"/>
      <c r="J183" s="66" t="s">
        <v>79</v>
      </c>
      <c r="K183" s="83">
        <v>170</v>
      </c>
      <c r="L183" s="108"/>
      <c r="M183" s="84">
        <f>K183*L183</f>
        <v>0</v>
      </c>
      <c r="Z183" s="83">
        <f>IF(AQ183="5",BJ183,0)</f>
        <v>0</v>
      </c>
      <c r="AB183" s="83">
        <f>IF(AQ183="1",BH183,0)</f>
        <v>0</v>
      </c>
      <c r="AC183" s="83">
        <f>IF(AQ183="1",BI183,0)</f>
        <v>0</v>
      </c>
      <c r="AD183" s="83">
        <f>IF(AQ183="7",BH183,0)</f>
        <v>0</v>
      </c>
      <c r="AE183" s="83">
        <f>IF(AQ183="7",BI183,0)</f>
        <v>0</v>
      </c>
      <c r="AF183" s="83">
        <f>IF(AQ183="2",BH183,0)</f>
        <v>0</v>
      </c>
      <c r="AG183" s="83">
        <f>IF(AQ183="2",BI183,0)</f>
        <v>0</v>
      </c>
      <c r="AH183" s="83">
        <f>IF(AQ183="0",BJ183,0)</f>
        <v>0</v>
      </c>
      <c r="AI183" s="72" t="s">
        <v>49</v>
      </c>
      <c r="AJ183" s="83">
        <f>IF(AN183=0,M183,0)</f>
        <v>0</v>
      </c>
      <c r="AK183" s="83">
        <f>IF(AN183=15,M183,0)</f>
        <v>0</v>
      </c>
      <c r="AL183" s="83">
        <f>IF(AN183=21,M183,0)</f>
        <v>0</v>
      </c>
      <c r="AN183" s="83">
        <v>21</v>
      </c>
      <c r="AO183" s="83">
        <f>L183*0.102067183462532</f>
        <v>0</v>
      </c>
      <c r="AP183" s="83">
        <f>L183*(1-0.102067183462532)</f>
        <v>0</v>
      </c>
      <c r="AQ183" s="85" t="s">
        <v>52</v>
      </c>
      <c r="AV183" s="83">
        <f>AW183+AX183</f>
        <v>0</v>
      </c>
      <c r="AW183" s="83">
        <f>K183*AO183</f>
        <v>0</v>
      </c>
      <c r="AX183" s="83">
        <f>K183*AP183</f>
        <v>0</v>
      </c>
      <c r="AY183" s="85" t="s">
        <v>343</v>
      </c>
      <c r="AZ183" s="85" t="s">
        <v>344</v>
      </c>
      <c r="BA183" s="72" t="s">
        <v>58</v>
      </c>
      <c r="BC183" s="83">
        <f>AW183+AX183</f>
        <v>0</v>
      </c>
      <c r="BD183" s="83">
        <f>L183/(100-BE183)*100</f>
        <v>0</v>
      </c>
      <c r="BE183" s="83">
        <v>0</v>
      </c>
      <c r="BF183" s="83">
        <f>183</f>
        <v>183</v>
      </c>
      <c r="BH183" s="83">
        <f>K183*AO183</f>
        <v>0</v>
      </c>
      <c r="BI183" s="83">
        <f>K183*AP183</f>
        <v>0</v>
      </c>
      <c r="BJ183" s="83">
        <f>K183*L183</f>
        <v>0</v>
      </c>
      <c r="BK183" s="83"/>
      <c r="BL183" s="83">
        <v>21</v>
      </c>
    </row>
    <row r="184" spans="1:13" ht="15" customHeight="1">
      <c r="A184" s="86"/>
      <c r="C184" s="87" t="s">
        <v>353</v>
      </c>
      <c r="I184" s="87" t="s">
        <v>49</v>
      </c>
      <c r="K184" s="88">
        <v>170</v>
      </c>
      <c r="M184" s="89"/>
    </row>
    <row r="185" spans="1:64" ht="15" customHeight="1">
      <c r="A185" s="65" t="s">
        <v>346</v>
      </c>
      <c r="B185" s="66" t="s">
        <v>355</v>
      </c>
      <c r="C185" s="150" t="s">
        <v>356</v>
      </c>
      <c r="D185" s="150"/>
      <c r="E185" s="150"/>
      <c r="F185" s="150"/>
      <c r="G185" s="150"/>
      <c r="H185" s="150"/>
      <c r="I185" s="150"/>
      <c r="J185" s="66" t="s">
        <v>226</v>
      </c>
      <c r="K185" s="83">
        <v>30</v>
      </c>
      <c r="L185" s="108"/>
      <c r="M185" s="84">
        <f>K185*L185</f>
        <v>0</v>
      </c>
      <c r="Z185" s="83">
        <f>IF(AQ185="5",BJ185,0)</f>
        <v>0</v>
      </c>
      <c r="AB185" s="83">
        <f>IF(AQ185="1",BH185,0)</f>
        <v>0</v>
      </c>
      <c r="AC185" s="83">
        <f>IF(AQ185="1",BI185,0)</f>
        <v>0</v>
      </c>
      <c r="AD185" s="83">
        <f>IF(AQ185="7",BH185,0)</f>
        <v>0</v>
      </c>
      <c r="AE185" s="83">
        <f>IF(AQ185="7",BI185,0)</f>
        <v>0</v>
      </c>
      <c r="AF185" s="83">
        <f>IF(AQ185="2",BH185,0)</f>
        <v>0</v>
      </c>
      <c r="AG185" s="83">
        <f>IF(AQ185="2",BI185,0)</f>
        <v>0</v>
      </c>
      <c r="AH185" s="83">
        <f>IF(AQ185="0",BJ185,0)</f>
        <v>0</v>
      </c>
      <c r="AI185" s="72" t="s">
        <v>49</v>
      </c>
      <c r="AJ185" s="83">
        <f>IF(AN185=0,M185,0)</f>
        <v>0</v>
      </c>
      <c r="AK185" s="83">
        <f>IF(AN185=15,M185,0)</f>
        <v>0</v>
      </c>
      <c r="AL185" s="83">
        <f>IF(AN185=21,M185,0)</f>
        <v>0</v>
      </c>
      <c r="AN185" s="83">
        <v>21</v>
      </c>
      <c r="AO185" s="83">
        <f>L185*0.683083083083083</f>
        <v>0</v>
      </c>
      <c r="AP185" s="83">
        <f>L185*(1-0.683083083083083)</f>
        <v>0</v>
      </c>
      <c r="AQ185" s="85" t="s">
        <v>52</v>
      </c>
      <c r="AV185" s="83">
        <f>AW185+AX185</f>
        <v>0</v>
      </c>
      <c r="AW185" s="83">
        <f>K185*AO185</f>
        <v>0</v>
      </c>
      <c r="AX185" s="83">
        <f>K185*AP185</f>
        <v>0</v>
      </c>
      <c r="AY185" s="85" t="s">
        <v>343</v>
      </c>
      <c r="AZ185" s="85" t="s">
        <v>344</v>
      </c>
      <c r="BA185" s="72" t="s">
        <v>58</v>
      </c>
      <c r="BC185" s="83">
        <f>AW185+AX185</f>
        <v>0</v>
      </c>
      <c r="BD185" s="83">
        <f>L185/(100-BE185)*100</f>
        <v>0</v>
      </c>
      <c r="BE185" s="83">
        <v>0</v>
      </c>
      <c r="BF185" s="83">
        <f>185</f>
        <v>185</v>
      </c>
      <c r="BH185" s="83">
        <f>K185*AO185</f>
        <v>0</v>
      </c>
      <c r="BI185" s="83">
        <f>K185*AP185</f>
        <v>0</v>
      </c>
      <c r="BJ185" s="83">
        <f>K185*L185</f>
        <v>0</v>
      </c>
      <c r="BK185" s="83"/>
      <c r="BL185" s="83">
        <v>21</v>
      </c>
    </row>
    <row r="186" spans="1:13" ht="15" customHeight="1">
      <c r="A186" s="86"/>
      <c r="C186" s="87" t="s">
        <v>234</v>
      </c>
      <c r="I186" s="87" t="s">
        <v>49</v>
      </c>
      <c r="K186" s="88">
        <v>30.000000000000004</v>
      </c>
      <c r="M186" s="89"/>
    </row>
    <row r="187" spans="1:64" ht="15" customHeight="1">
      <c r="A187" s="65" t="s">
        <v>350</v>
      </c>
      <c r="B187" s="66" t="s">
        <v>358</v>
      </c>
      <c r="C187" s="150" t="s">
        <v>359</v>
      </c>
      <c r="D187" s="150"/>
      <c r="E187" s="150"/>
      <c r="F187" s="150"/>
      <c r="G187" s="150"/>
      <c r="H187" s="150"/>
      <c r="I187" s="150"/>
      <c r="J187" s="66" t="s">
        <v>79</v>
      </c>
      <c r="K187" s="83">
        <v>5.13</v>
      </c>
      <c r="L187" s="108"/>
      <c r="M187" s="84">
        <f>K187*L187</f>
        <v>0</v>
      </c>
      <c r="Z187" s="83">
        <f>IF(AQ187="5",BJ187,0)</f>
        <v>0</v>
      </c>
      <c r="AB187" s="83">
        <f>IF(AQ187="1",BH187,0)</f>
        <v>0</v>
      </c>
      <c r="AC187" s="83">
        <f>IF(AQ187="1",BI187,0)</f>
        <v>0</v>
      </c>
      <c r="AD187" s="83">
        <f>IF(AQ187="7",BH187,0)</f>
        <v>0</v>
      </c>
      <c r="AE187" s="83">
        <f>IF(AQ187="7",BI187,0)</f>
        <v>0</v>
      </c>
      <c r="AF187" s="83">
        <f>IF(AQ187="2",BH187,0)</f>
        <v>0</v>
      </c>
      <c r="AG187" s="83">
        <f>IF(AQ187="2",BI187,0)</f>
        <v>0</v>
      </c>
      <c r="AH187" s="83">
        <f>IF(AQ187="0",BJ187,0)</f>
        <v>0</v>
      </c>
      <c r="AI187" s="72" t="s">
        <v>49</v>
      </c>
      <c r="AJ187" s="83">
        <f>IF(AN187=0,M187,0)</f>
        <v>0</v>
      </c>
      <c r="AK187" s="83">
        <f>IF(AN187=15,M187,0)</f>
        <v>0</v>
      </c>
      <c r="AL187" s="83">
        <f>IF(AN187=21,M187,0)</f>
        <v>0</v>
      </c>
      <c r="AN187" s="83">
        <v>21</v>
      </c>
      <c r="AO187" s="83">
        <f>L187*0.167471449948807</f>
        <v>0</v>
      </c>
      <c r="AP187" s="83">
        <f>L187*(1-0.167471449948807)</f>
        <v>0</v>
      </c>
      <c r="AQ187" s="85" t="s">
        <v>52</v>
      </c>
      <c r="AV187" s="83">
        <f>AW187+AX187</f>
        <v>0</v>
      </c>
      <c r="AW187" s="83">
        <f>K187*AO187</f>
        <v>0</v>
      </c>
      <c r="AX187" s="83">
        <f>K187*AP187</f>
        <v>0</v>
      </c>
      <c r="AY187" s="85" t="s">
        <v>343</v>
      </c>
      <c r="AZ187" s="85" t="s">
        <v>344</v>
      </c>
      <c r="BA187" s="72" t="s">
        <v>58</v>
      </c>
      <c r="BC187" s="83">
        <f>AW187+AX187</f>
        <v>0</v>
      </c>
      <c r="BD187" s="83">
        <f>L187/(100-BE187)*100</f>
        <v>0</v>
      </c>
      <c r="BE187" s="83">
        <v>0</v>
      </c>
      <c r="BF187" s="83">
        <f>187</f>
        <v>187</v>
      </c>
      <c r="BH187" s="83">
        <f>K187*AO187</f>
        <v>0</v>
      </c>
      <c r="BI187" s="83">
        <f>K187*AP187</f>
        <v>0</v>
      </c>
      <c r="BJ187" s="83">
        <f>K187*L187</f>
        <v>0</v>
      </c>
      <c r="BK187" s="83"/>
      <c r="BL187" s="83">
        <v>21</v>
      </c>
    </row>
    <row r="188" spans="1:13" ht="15" customHeight="1">
      <c r="A188" s="86"/>
      <c r="C188" s="87" t="s">
        <v>360</v>
      </c>
      <c r="I188" s="87" t="s">
        <v>361</v>
      </c>
      <c r="K188" s="88">
        <v>5.130000000000001</v>
      </c>
      <c r="M188" s="89"/>
    </row>
    <row r="189" spans="1:47" ht="15" customHeight="1">
      <c r="A189" s="78" t="s">
        <v>49</v>
      </c>
      <c r="B189" s="79" t="s">
        <v>213</v>
      </c>
      <c r="C189" s="168" t="s">
        <v>362</v>
      </c>
      <c r="D189" s="168"/>
      <c r="E189" s="168"/>
      <c r="F189" s="168"/>
      <c r="G189" s="168"/>
      <c r="H189" s="168"/>
      <c r="I189" s="168"/>
      <c r="J189" s="80" t="s">
        <v>3</v>
      </c>
      <c r="K189" s="80" t="s">
        <v>3</v>
      </c>
      <c r="L189" s="80" t="s">
        <v>3</v>
      </c>
      <c r="M189" s="81">
        <f>SUM(M190:M234)</f>
        <v>0</v>
      </c>
      <c r="AI189" s="72" t="s">
        <v>49</v>
      </c>
      <c r="AS189" s="82">
        <f>SUM(AJ190:AJ234)</f>
        <v>0</v>
      </c>
      <c r="AT189" s="82">
        <f>SUM(AK190:AK234)</f>
        <v>0</v>
      </c>
      <c r="AU189" s="82">
        <f>SUM(AL190:AL234)</f>
        <v>0</v>
      </c>
    </row>
    <row r="190" spans="1:64" ht="15" customHeight="1">
      <c r="A190" s="65" t="s">
        <v>354</v>
      </c>
      <c r="B190" s="66" t="s">
        <v>364</v>
      </c>
      <c r="C190" s="150" t="s">
        <v>365</v>
      </c>
      <c r="D190" s="150"/>
      <c r="E190" s="150"/>
      <c r="F190" s="150"/>
      <c r="G190" s="150"/>
      <c r="H190" s="150"/>
      <c r="I190" s="150"/>
      <c r="J190" s="66" t="s">
        <v>226</v>
      </c>
      <c r="K190" s="83">
        <v>0.987</v>
      </c>
      <c r="L190" s="108"/>
      <c r="M190" s="84">
        <f>K190*L190</f>
        <v>0</v>
      </c>
      <c r="Z190" s="83">
        <f>IF(AQ190="5",BJ190,0)</f>
        <v>0</v>
      </c>
      <c r="AB190" s="83">
        <f>IF(AQ190="1",BH190,0)</f>
        <v>0</v>
      </c>
      <c r="AC190" s="83">
        <f>IF(AQ190="1",BI190,0)</f>
        <v>0</v>
      </c>
      <c r="AD190" s="83">
        <f>IF(AQ190="7",BH190,0)</f>
        <v>0</v>
      </c>
      <c r="AE190" s="83">
        <f>IF(AQ190="7",BI190,0)</f>
        <v>0</v>
      </c>
      <c r="AF190" s="83">
        <f>IF(AQ190="2",BH190,0)</f>
        <v>0</v>
      </c>
      <c r="AG190" s="83">
        <f>IF(AQ190="2",BI190,0)</f>
        <v>0</v>
      </c>
      <c r="AH190" s="83">
        <f>IF(AQ190="0",BJ190,0)</f>
        <v>0</v>
      </c>
      <c r="AI190" s="72" t="s">
        <v>49</v>
      </c>
      <c r="AJ190" s="83">
        <f>IF(AN190=0,M190,0)</f>
        <v>0</v>
      </c>
      <c r="AK190" s="83">
        <f>IF(AN190=15,M190,0)</f>
        <v>0</v>
      </c>
      <c r="AL190" s="83">
        <f>IF(AN190=21,M190,0)</f>
        <v>0</v>
      </c>
      <c r="AN190" s="83">
        <v>21</v>
      </c>
      <c r="AO190" s="83">
        <f>L190*0.914301858803335</f>
        <v>0</v>
      </c>
      <c r="AP190" s="83">
        <f>L190*(1-0.914301858803335)</f>
        <v>0</v>
      </c>
      <c r="AQ190" s="85" t="s">
        <v>52</v>
      </c>
      <c r="AV190" s="83">
        <f>AW190+AX190</f>
        <v>0</v>
      </c>
      <c r="AW190" s="83">
        <f>K190*AO190</f>
        <v>0</v>
      </c>
      <c r="AX190" s="83">
        <f>K190*AP190</f>
        <v>0</v>
      </c>
      <c r="AY190" s="85" t="s">
        <v>366</v>
      </c>
      <c r="AZ190" s="85" t="s">
        <v>344</v>
      </c>
      <c r="BA190" s="72" t="s">
        <v>58</v>
      </c>
      <c r="BC190" s="83">
        <f>AW190+AX190</f>
        <v>0</v>
      </c>
      <c r="BD190" s="83">
        <f>L190/(100-BE190)*100</f>
        <v>0</v>
      </c>
      <c r="BE190" s="83">
        <v>0</v>
      </c>
      <c r="BF190" s="83">
        <f>190</f>
        <v>190</v>
      </c>
      <c r="BH190" s="83">
        <f>K190*AO190</f>
        <v>0</v>
      </c>
      <c r="BI190" s="83">
        <f>K190*AP190</f>
        <v>0</v>
      </c>
      <c r="BJ190" s="83">
        <f>K190*L190</f>
        <v>0</v>
      </c>
      <c r="BK190" s="83"/>
      <c r="BL190" s="83">
        <v>27</v>
      </c>
    </row>
    <row r="191" spans="1:13" ht="15" customHeight="1">
      <c r="A191" s="86"/>
      <c r="C191" s="87" t="s">
        <v>367</v>
      </c>
      <c r="I191" s="87" t="s">
        <v>368</v>
      </c>
      <c r="K191" s="88">
        <v>0.9870000000000001</v>
      </c>
      <c r="M191" s="89"/>
    </row>
    <row r="192" spans="1:13" ht="13.5" customHeight="1">
      <c r="A192" s="86"/>
      <c r="B192" s="90" t="s">
        <v>60</v>
      </c>
      <c r="C192" s="161" t="s">
        <v>369</v>
      </c>
      <c r="D192" s="162"/>
      <c r="E192" s="162"/>
      <c r="F192" s="162"/>
      <c r="G192" s="162"/>
      <c r="H192" s="162"/>
      <c r="I192" s="162"/>
      <c r="J192" s="162"/>
      <c r="K192" s="162"/>
      <c r="L192" s="162"/>
      <c r="M192" s="163"/>
    </row>
    <row r="193" spans="1:64" ht="15" customHeight="1">
      <c r="A193" s="65" t="s">
        <v>357</v>
      </c>
      <c r="B193" s="66" t="s">
        <v>371</v>
      </c>
      <c r="C193" s="150" t="s">
        <v>372</v>
      </c>
      <c r="D193" s="150"/>
      <c r="E193" s="150"/>
      <c r="F193" s="150"/>
      <c r="G193" s="150"/>
      <c r="H193" s="150"/>
      <c r="I193" s="150"/>
      <c r="J193" s="66" t="s">
        <v>293</v>
      </c>
      <c r="K193" s="83">
        <v>0.28299</v>
      </c>
      <c r="L193" s="108"/>
      <c r="M193" s="84">
        <f>K193*L193</f>
        <v>0</v>
      </c>
      <c r="Z193" s="83">
        <f>IF(AQ193="5",BJ193,0)</f>
        <v>0</v>
      </c>
      <c r="AB193" s="83">
        <f>IF(AQ193="1",BH193,0)</f>
        <v>0</v>
      </c>
      <c r="AC193" s="83">
        <f>IF(AQ193="1",BI193,0)</f>
        <v>0</v>
      </c>
      <c r="AD193" s="83">
        <f>IF(AQ193="7",BH193,0)</f>
        <v>0</v>
      </c>
      <c r="AE193" s="83">
        <f>IF(AQ193="7",BI193,0)</f>
        <v>0</v>
      </c>
      <c r="AF193" s="83">
        <f>IF(AQ193="2",BH193,0)</f>
        <v>0</v>
      </c>
      <c r="AG193" s="83">
        <f>IF(AQ193="2",BI193,0)</f>
        <v>0</v>
      </c>
      <c r="AH193" s="83">
        <f>IF(AQ193="0",BJ193,0)</f>
        <v>0</v>
      </c>
      <c r="AI193" s="72" t="s">
        <v>49</v>
      </c>
      <c r="AJ193" s="83">
        <f>IF(AN193=0,M193,0)</f>
        <v>0</v>
      </c>
      <c r="AK193" s="83">
        <f>IF(AN193=15,M193,0)</f>
        <v>0</v>
      </c>
      <c r="AL193" s="83">
        <f>IF(AN193=21,M193,0)</f>
        <v>0</v>
      </c>
      <c r="AN193" s="83">
        <v>21</v>
      </c>
      <c r="AO193" s="83">
        <f>L193*1</f>
        <v>0</v>
      </c>
      <c r="AP193" s="83">
        <f>L193*(1-1)</f>
        <v>0</v>
      </c>
      <c r="AQ193" s="85" t="s">
        <v>52</v>
      </c>
      <c r="AV193" s="83">
        <f>AW193+AX193</f>
        <v>0</v>
      </c>
      <c r="AW193" s="83">
        <f>K193*AO193</f>
        <v>0</v>
      </c>
      <c r="AX193" s="83">
        <f>K193*AP193</f>
        <v>0</v>
      </c>
      <c r="AY193" s="85" t="s">
        <v>366</v>
      </c>
      <c r="AZ193" s="85" t="s">
        <v>344</v>
      </c>
      <c r="BA193" s="72" t="s">
        <v>58</v>
      </c>
      <c r="BC193" s="83">
        <f>AW193+AX193</f>
        <v>0</v>
      </c>
      <c r="BD193" s="83">
        <f>L193/(100-BE193)*100</f>
        <v>0</v>
      </c>
      <c r="BE193" s="83">
        <v>0</v>
      </c>
      <c r="BF193" s="83">
        <f>193</f>
        <v>193</v>
      </c>
      <c r="BH193" s="83">
        <f>K193*AO193</f>
        <v>0</v>
      </c>
      <c r="BI193" s="83">
        <f>K193*AP193</f>
        <v>0</v>
      </c>
      <c r="BJ193" s="83">
        <f>K193*L193</f>
        <v>0</v>
      </c>
      <c r="BK193" s="83"/>
      <c r="BL193" s="83">
        <v>27</v>
      </c>
    </row>
    <row r="194" spans="1:13" ht="15" customHeight="1">
      <c r="A194" s="86"/>
      <c r="C194" s="87" t="s">
        <v>373</v>
      </c>
      <c r="I194" s="87" t="s">
        <v>368</v>
      </c>
      <c r="K194" s="88">
        <v>0.038630000000000005</v>
      </c>
      <c r="M194" s="89"/>
    </row>
    <row r="195" spans="1:13" ht="15" customHeight="1">
      <c r="A195" s="86"/>
      <c r="C195" s="87" t="s">
        <v>374</v>
      </c>
      <c r="I195" s="87" t="s">
        <v>375</v>
      </c>
      <c r="K195" s="88">
        <v>0.14652</v>
      </c>
      <c r="M195" s="89"/>
    </row>
    <row r="196" spans="1:13" ht="15" customHeight="1">
      <c r="A196" s="86"/>
      <c r="C196" s="87" t="s">
        <v>376</v>
      </c>
      <c r="I196" s="87" t="s">
        <v>49</v>
      </c>
      <c r="K196" s="88">
        <v>0.01348</v>
      </c>
      <c r="M196" s="89"/>
    </row>
    <row r="197" spans="1:13" ht="15" customHeight="1">
      <c r="A197" s="86"/>
      <c r="C197" s="87" t="s">
        <v>377</v>
      </c>
      <c r="I197" s="87" t="s">
        <v>378</v>
      </c>
      <c r="K197" s="88">
        <v>0.08436</v>
      </c>
      <c r="M197" s="89"/>
    </row>
    <row r="198" spans="1:13" ht="13.5" customHeight="1">
      <c r="A198" s="86"/>
      <c r="B198" s="90" t="s">
        <v>60</v>
      </c>
      <c r="C198" s="161" t="s">
        <v>379</v>
      </c>
      <c r="D198" s="162"/>
      <c r="E198" s="162"/>
      <c r="F198" s="162"/>
      <c r="G198" s="162"/>
      <c r="H198" s="162"/>
      <c r="I198" s="162"/>
      <c r="J198" s="162"/>
      <c r="K198" s="162"/>
      <c r="L198" s="162"/>
      <c r="M198" s="163"/>
    </row>
    <row r="199" spans="1:64" ht="15" customHeight="1">
      <c r="A199" s="65" t="s">
        <v>363</v>
      </c>
      <c r="B199" s="66" t="s">
        <v>381</v>
      </c>
      <c r="C199" s="150" t="s">
        <v>382</v>
      </c>
      <c r="D199" s="150"/>
      <c r="E199" s="150"/>
      <c r="F199" s="150"/>
      <c r="G199" s="150"/>
      <c r="H199" s="150"/>
      <c r="I199" s="150"/>
      <c r="J199" s="66" t="s">
        <v>226</v>
      </c>
      <c r="K199" s="83">
        <v>1</v>
      </c>
      <c r="L199" s="108"/>
      <c r="M199" s="84">
        <f>K199*L199</f>
        <v>0</v>
      </c>
      <c r="Z199" s="83">
        <f>IF(AQ199="5",BJ199,0)</f>
        <v>0</v>
      </c>
      <c r="AB199" s="83">
        <f>IF(AQ199="1",BH199,0)</f>
        <v>0</v>
      </c>
      <c r="AC199" s="83">
        <f>IF(AQ199="1",BI199,0)</f>
        <v>0</v>
      </c>
      <c r="AD199" s="83">
        <f>IF(AQ199="7",BH199,0)</f>
        <v>0</v>
      </c>
      <c r="AE199" s="83">
        <f>IF(AQ199="7",BI199,0)</f>
        <v>0</v>
      </c>
      <c r="AF199" s="83">
        <f>IF(AQ199="2",BH199,0)</f>
        <v>0</v>
      </c>
      <c r="AG199" s="83">
        <f>IF(AQ199="2",BI199,0)</f>
        <v>0</v>
      </c>
      <c r="AH199" s="83">
        <f>IF(AQ199="0",BJ199,0)</f>
        <v>0</v>
      </c>
      <c r="AI199" s="72" t="s">
        <v>49</v>
      </c>
      <c r="AJ199" s="83">
        <f>IF(AN199=0,M199,0)</f>
        <v>0</v>
      </c>
      <c r="AK199" s="83">
        <f>IF(AN199=15,M199,0)</f>
        <v>0</v>
      </c>
      <c r="AL199" s="83">
        <f>IF(AN199=21,M199,0)</f>
        <v>0</v>
      </c>
      <c r="AN199" s="83">
        <v>21</v>
      </c>
      <c r="AO199" s="83">
        <f>L199*0.914303112313938</f>
        <v>0</v>
      </c>
      <c r="AP199" s="83">
        <f>L199*(1-0.914303112313938)</f>
        <v>0</v>
      </c>
      <c r="AQ199" s="85" t="s">
        <v>52</v>
      </c>
      <c r="AV199" s="83">
        <f>AW199+AX199</f>
        <v>0</v>
      </c>
      <c r="AW199" s="83">
        <f>K199*AO199</f>
        <v>0</v>
      </c>
      <c r="AX199" s="83">
        <f>K199*AP199</f>
        <v>0</v>
      </c>
      <c r="AY199" s="85" t="s">
        <v>366</v>
      </c>
      <c r="AZ199" s="85" t="s">
        <v>344</v>
      </c>
      <c r="BA199" s="72" t="s">
        <v>58</v>
      </c>
      <c r="BC199" s="83">
        <f>AW199+AX199</f>
        <v>0</v>
      </c>
      <c r="BD199" s="83">
        <f>L199/(100-BE199)*100</f>
        <v>0</v>
      </c>
      <c r="BE199" s="83">
        <v>0</v>
      </c>
      <c r="BF199" s="83">
        <f>199</f>
        <v>199</v>
      </c>
      <c r="BH199" s="83">
        <f>K199*AO199</f>
        <v>0</v>
      </c>
      <c r="BI199" s="83">
        <f>K199*AP199</f>
        <v>0</v>
      </c>
      <c r="BJ199" s="83">
        <f>K199*L199</f>
        <v>0</v>
      </c>
      <c r="BK199" s="83"/>
      <c r="BL199" s="83">
        <v>27</v>
      </c>
    </row>
    <row r="200" spans="1:13" ht="15" customHeight="1">
      <c r="A200" s="86"/>
      <c r="C200" s="87" t="s">
        <v>52</v>
      </c>
      <c r="I200" s="87" t="s">
        <v>383</v>
      </c>
      <c r="K200" s="88">
        <v>1</v>
      </c>
      <c r="M200" s="89"/>
    </row>
    <row r="201" spans="1:13" ht="13.5" customHeight="1">
      <c r="A201" s="86"/>
      <c r="B201" s="90" t="s">
        <v>60</v>
      </c>
      <c r="C201" s="161" t="s">
        <v>369</v>
      </c>
      <c r="D201" s="162"/>
      <c r="E201" s="162"/>
      <c r="F201" s="162"/>
      <c r="G201" s="162"/>
      <c r="H201" s="162"/>
      <c r="I201" s="162"/>
      <c r="J201" s="162"/>
      <c r="K201" s="162"/>
      <c r="L201" s="162"/>
      <c r="M201" s="163"/>
    </row>
    <row r="202" spans="1:64" ht="15" customHeight="1">
      <c r="A202" s="65" t="s">
        <v>370</v>
      </c>
      <c r="B202" s="66" t="s">
        <v>385</v>
      </c>
      <c r="C202" s="150" t="s">
        <v>386</v>
      </c>
      <c r="D202" s="150"/>
      <c r="E202" s="150"/>
      <c r="F202" s="150"/>
      <c r="G202" s="150"/>
      <c r="H202" s="150"/>
      <c r="I202" s="150"/>
      <c r="J202" s="66" t="s">
        <v>79</v>
      </c>
      <c r="K202" s="83">
        <v>5</v>
      </c>
      <c r="L202" s="108"/>
      <c r="M202" s="84">
        <f>K202*L202</f>
        <v>0</v>
      </c>
      <c r="Z202" s="83">
        <f>IF(AQ202="5",BJ202,0)</f>
        <v>0</v>
      </c>
      <c r="AB202" s="83">
        <f>IF(AQ202="1",BH202,0)</f>
        <v>0</v>
      </c>
      <c r="AC202" s="83">
        <f>IF(AQ202="1",BI202,0)</f>
        <v>0</v>
      </c>
      <c r="AD202" s="83">
        <f>IF(AQ202="7",BH202,0)</f>
        <v>0</v>
      </c>
      <c r="AE202" s="83">
        <f>IF(AQ202="7",BI202,0)</f>
        <v>0</v>
      </c>
      <c r="AF202" s="83">
        <f>IF(AQ202="2",BH202,0)</f>
        <v>0</v>
      </c>
      <c r="AG202" s="83">
        <f>IF(AQ202="2",BI202,0)</f>
        <v>0</v>
      </c>
      <c r="AH202" s="83">
        <f>IF(AQ202="0",BJ202,0)</f>
        <v>0</v>
      </c>
      <c r="AI202" s="72" t="s">
        <v>49</v>
      </c>
      <c r="AJ202" s="83">
        <f>IF(AN202=0,M202,0)</f>
        <v>0</v>
      </c>
      <c r="AK202" s="83">
        <f>IF(AN202=15,M202,0)</f>
        <v>0</v>
      </c>
      <c r="AL202" s="83">
        <f>IF(AN202=21,M202,0)</f>
        <v>0</v>
      </c>
      <c r="AN202" s="83">
        <v>21</v>
      </c>
      <c r="AO202" s="83">
        <f>L202*0.638715170278638</f>
        <v>0</v>
      </c>
      <c r="AP202" s="83">
        <f>L202*(1-0.638715170278638)</f>
        <v>0</v>
      </c>
      <c r="AQ202" s="85" t="s">
        <v>52</v>
      </c>
      <c r="AV202" s="83">
        <f>AW202+AX202</f>
        <v>0</v>
      </c>
      <c r="AW202" s="83">
        <f>K202*AO202</f>
        <v>0</v>
      </c>
      <c r="AX202" s="83">
        <f>K202*AP202</f>
        <v>0</v>
      </c>
      <c r="AY202" s="85" t="s">
        <v>366</v>
      </c>
      <c r="AZ202" s="85" t="s">
        <v>344</v>
      </c>
      <c r="BA202" s="72" t="s">
        <v>58</v>
      </c>
      <c r="BC202" s="83">
        <f>AW202+AX202</f>
        <v>0</v>
      </c>
      <c r="BD202" s="83">
        <f>L202/(100-BE202)*100</f>
        <v>0</v>
      </c>
      <c r="BE202" s="83">
        <v>0</v>
      </c>
      <c r="BF202" s="83">
        <f>202</f>
        <v>202</v>
      </c>
      <c r="BH202" s="83">
        <f>K202*AO202</f>
        <v>0</v>
      </c>
      <c r="BI202" s="83">
        <f>K202*AP202</f>
        <v>0</v>
      </c>
      <c r="BJ202" s="83">
        <f>K202*L202</f>
        <v>0</v>
      </c>
      <c r="BK202" s="83"/>
      <c r="BL202" s="83">
        <v>27</v>
      </c>
    </row>
    <row r="203" spans="1:13" ht="13.5" customHeight="1">
      <c r="A203" s="86"/>
      <c r="B203" s="90" t="s">
        <v>273</v>
      </c>
      <c r="C203" s="161" t="s">
        <v>387</v>
      </c>
      <c r="D203" s="162"/>
      <c r="E203" s="162"/>
      <c r="F203" s="162"/>
      <c r="G203" s="162"/>
      <c r="H203" s="162"/>
      <c r="I203" s="162"/>
      <c r="J203" s="162"/>
      <c r="K203" s="162"/>
      <c r="L203" s="162"/>
      <c r="M203" s="163"/>
    </row>
    <row r="204" spans="1:13" ht="15" customHeight="1">
      <c r="A204" s="86"/>
      <c r="C204" s="87" t="s">
        <v>73</v>
      </c>
      <c r="I204" s="87" t="s">
        <v>368</v>
      </c>
      <c r="K204" s="88">
        <v>5</v>
      </c>
      <c r="M204" s="89"/>
    </row>
    <row r="205" spans="1:64" ht="15" customHeight="1">
      <c r="A205" s="65" t="s">
        <v>380</v>
      </c>
      <c r="B205" s="66" t="s">
        <v>389</v>
      </c>
      <c r="C205" s="150" t="s">
        <v>390</v>
      </c>
      <c r="D205" s="150"/>
      <c r="E205" s="150"/>
      <c r="F205" s="150"/>
      <c r="G205" s="150"/>
      <c r="H205" s="150"/>
      <c r="I205" s="150"/>
      <c r="J205" s="66" t="s">
        <v>79</v>
      </c>
      <c r="K205" s="83">
        <v>5</v>
      </c>
      <c r="L205" s="108"/>
      <c r="M205" s="84">
        <f>K205*L205</f>
        <v>0</v>
      </c>
      <c r="Z205" s="83">
        <f>IF(AQ205="5",BJ205,0)</f>
        <v>0</v>
      </c>
      <c r="AB205" s="83">
        <f>IF(AQ205="1",BH205,0)</f>
        <v>0</v>
      </c>
      <c r="AC205" s="83">
        <f>IF(AQ205="1",BI205,0)</f>
        <v>0</v>
      </c>
      <c r="AD205" s="83">
        <f>IF(AQ205="7",BH205,0)</f>
        <v>0</v>
      </c>
      <c r="AE205" s="83">
        <f>IF(AQ205="7",BI205,0)</f>
        <v>0</v>
      </c>
      <c r="AF205" s="83">
        <f>IF(AQ205="2",BH205,0)</f>
        <v>0</v>
      </c>
      <c r="AG205" s="83">
        <f>IF(AQ205="2",BI205,0)</f>
        <v>0</v>
      </c>
      <c r="AH205" s="83">
        <f>IF(AQ205="0",BJ205,0)</f>
        <v>0</v>
      </c>
      <c r="AI205" s="72" t="s">
        <v>49</v>
      </c>
      <c r="AJ205" s="83">
        <f>IF(AN205=0,M205,0)</f>
        <v>0</v>
      </c>
      <c r="AK205" s="83">
        <f>IF(AN205=15,M205,0)</f>
        <v>0</v>
      </c>
      <c r="AL205" s="83">
        <f>IF(AN205=21,M205,0)</f>
        <v>0</v>
      </c>
      <c r="AN205" s="83">
        <v>21</v>
      </c>
      <c r="AO205" s="83">
        <f>L205*0</f>
        <v>0</v>
      </c>
      <c r="AP205" s="83">
        <f>L205*(1-0)</f>
        <v>0</v>
      </c>
      <c r="AQ205" s="85" t="s">
        <v>52</v>
      </c>
      <c r="AV205" s="83">
        <f>AW205+AX205</f>
        <v>0</v>
      </c>
      <c r="AW205" s="83">
        <f>K205*AO205</f>
        <v>0</v>
      </c>
      <c r="AX205" s="83">
        <f>K205*AP205</f>
        <v>0</v>
      </c>
      <c r="AY205" s="85" t="s">
        <v>366</v>
      </c>
      <c r="AZ205" s="85" t="s">
        <v>344</v>
      </c>
      <c r="BA205" s="72" t="s">
        <v>58</v>
      </c>
      <c r="BC205" s="83">
        <f>AW205+AX205</f>
        <v>0</v>
      </c>
      <c r="BD205" s="83">
        <f>L205/(100-BE205)*100</f>
        <v>0</v>
      </c>
      <c r="BE205" s="83">
        <v>0</v>
      </c>
      <c r="BF205" s="83">
        <f>205</f>
        <v>205</v>
      </c>
      <c r="BH205" s="83">
        <f>K205*AO205</f>
        <v>0</v>
      </c>
      <c r="BI205" s="83">
        <f>K205*AP205</f>
        <v>0</v>
      </c>
      <c r="BJ205" s="83">
        <f>K205*L205</f>
        <v>0</v>
      </c>
      <c r="BK205" s="83"/>
      <c r="BL205" s="83">
        <v>27</v>
      </c>
    </row>
    <row r="206" spans="1:13" ht="15" customHeight="1">
      <c r="A206" s="86"/>
      <c r="C206" s="87" t="s">
        <v>73</v>
      </c>
      <c r="I206" s="87" t="s">
        <v>49</v>
      </c>
      <c r="K206" s="88">
        <v>5</v>
      </c>
      <c r="M206" s="89"/>
    </row>
    <row r="207" spans="1:64" ht="15" customHeight="1">
      <c r="A207" s="65" t="s">
        <v>384</v>
      </c>
      <c r="B207" s="66" t="s">
        <v>392</v>
      </c>
      <c r="C207" s="150" t="s">
        <v>393</v>
      </c>
      <c r="D207" s="150"/>
      <c r="E207" s="150"/>
      <c r="F207" s="150"/>
      <c r="G207" s="150"/>
      <c r="H207" s="150"/>
      <c r="I207" s="150"/>
      <c r="J207" s="66" t="s">
        <v>79</v>
      </c>
      <c r="K207" s="83">
        <v>8</v>
      </c>
      <c r="L207" s="108"/>
      <c r="M207" s="84">
        <f>K207*L207</f>
        <v>0</v>
      </c>
      <c r="Z207" s="83">
        <f>IF(AQ207="5",BJ207,0)</f>
        <v>0</v>
      </c>
      <c r="AB207" s="83">
        <f>IF(AQ207="1",BH207,0)</f>
        <v>0</v>
      </c>
      <c r="AC207" s="83">
        <f>IF(AQ207="1",BI207,0)</f>
        <v>0</v>
      </c>
      <c r="AD207" s="83">
        <f>IF(AQ207="7",BH207,0)</f>
        <v>0</v>
      </c>
      <c r="AE207" s="83">
        <f>IF(AQ207="7",BI207,0)</f>
        <v>0</v>
      </c>
      <c r="AF207" s="83">
        <f>IF(AQ207="2",BH207,0)</f>
        <v>0</v>
      </c>
      <c r="AG207" s="83">
        <f>IF(AQ207="2",BI207,0)</f>
        <v>0</v>
      </c>
      <c r="AH207" s="83">
        <f>IF(AQ207="0",BJ207,0)</f>
        <v>0</v>
      </c>
      <c r="AI207" s="72" t="s">
        <v>49</v>
      </c>
      <c r="AJ207" s="83">
        <f>IF(AN207=0,M207,0)</f>
        <v>0</v>
      </c>
      <c r="AK207" s="83">
        <f>IF(AN207=15,M207,0)</f>
        <v>0</v>
      </c>
      <c r="AL207" s="83">
        <f>IF(AN207=21,M207,0)</f>
        <v>0</v>
      </c>
      <c r="AN207" s="83">
        <v>21</v>
      </c>
      <c r="AO207" s="83">
        <f>L207*0.637593167701863</f>
        <v>0</v>
      </c>
      <c r="AP207" s="83">
        <f>L207*(1-0.637593167701863)</f>
        <v>0</v>
      </c>
      <c r="AQ207" s="85" t="s">
        <v>52</v>
      </c>
      <c r="AV207" s="83">
        <f>AW207+AX207</f>
        <v>0</v>
      </c>
      <c r="AW207" s="83">
        <f>K207*AO207</f>
        <v>0</v>
      </c>
      <c r="AX207" s="83">
        <f>K207*AP207</f>
        <v>0</v>
      </c>
      <c r="AY207" s="85" t="s">
        <v>366</v>
      </c>
      <c r="AZ207" s="85" t="s">
        <v>344</v>
      </c>
      <c r="BA207" s="72" t="s">
        <v>58</v>
      </c>
      <c r="BC207" s="83">
        <f>AW207+AX207</f>
        <v>0</v>
      </c>
      <c r="BD207" s="83">
        <f>L207/(100-BE207)*100</f>
        <v>0</v>
      </c>
      <c r="BE207" s="83">
        <v>0</v>
      </c>
      <c r="BF207" s="83">
        <f>207</f>
        <v>207</v>
      </c>
      <c r="BH207" s="83">
        <f>K207*AO207</f>
        <v>0</v>
      </c>
      <c r="BI207" s="83">
        <f>K207*AP207</f>
        <v>0</v>
      </c>
      <c r="BJ207" s="83">
        <f>K207*L207</f>
        <v>0</v>
      </c>
      <c r="BK207" s="83"/>
      <c r="BL207" s="83">
        <v>27</v>
      </c>
    </row>
    <row r="208" spans="1:13" ht="13.5" customHeight="1">
      <c r="A208" s="86"/>
      <c r="B208" s="90" t="s">
        <v>273</v>
      </c>
      <c r="C208" s="161" t="s">
        <v>387</v>
      </c>
      <c r="D208" s="162"/>
      <c r="E208" s="162"/>
      <c r="F208" s="162"/>
      <c r="G208" s="162"/>
      <c r="H208" s="162"/>
      <c r="I208" s="162"/>
      <c r="J208" s="162"/>
      <c r="K208" s="162"/>
      <c r="L208" s="162"/>
      <c r="M208" s="163"/>
    </row>
    <row r="209" spans="1:13" ht="15" customHeight="1">
      <c r="A209" s="86"/>
      <c r="C209" s="87" t="s">
        <v>71</v>
      </c>
      <c r="I209" s="87" t="s">
        <v>368</v>
      </c>
      <c r="K209" s="88">
        <v>8</v>
      </c>
      <c r="M209" s="89"/>
    </row>
    <row r="210" spans="1:64" ht="15" customHeight="1">
      <c r="A210" s="65" t="s">
        <v>388</v>
      </c>
      <c r="B210" s="66" t="s">
        <v>395</v>
      </c>
      <c r="C210" s="150" t="s">
        <v>396</v>
      </c>
      <c r="D210" s="150"/>
      <c r="E210" s="150"/>
      <c r="F210" s="150"/>
      <c r="G210" s="150"/>
      <c r="H210" s="150"/>
      <c r="I210" s="150"/>
      <c r="J210" s="66" t="s">
        <v>79</v>
      </c>
      <c r="K210" s="83">
        <v>8</v>
      </c>
      <c r="L210" s="108"/>
      <c r="M210" s="84">
        <f>K210*L210</f>
        <v>0</v>
      </c>
      <c r="Z210" s="83">
        <f>IF(AQ210="5",BJ210,0)</f>
        <v>0</v>
      </c>
      <c r="AB210" s="83">
        <f>IF(AQ210="1",BH210,0)</f>
        <v>0</v>
      </c>
      <c r="AC210" s="83">
        <f>IF(AQ210="1",BI210,0)</f>
        <v>0</v>
      </c>
      <c r="AD210" s="83">
        <f>IF(AQ210="7",BH210,0)</f>
        <v>0</v>
      </c>
      <c r="AE210" s="83">
        <f>IF(AQ210="7",BI210,0)</f>
        <v>0</v>
      </c>
      <c r="AF210" s="83">
        <f>IF(AQ210="2",BH210,0)</f>
        <v>0</v>
      </c>
      <c r="AG210" s="83">
        <f>IF(AQ210="2",BI210,0)</f>
        <v>0</v>
      </c>
      <c r="AH210" s="83">
        <f>IF(AQ210="0",BJ210,0)</f>
        <v>0</v>
      </c>
      <c r="AI210" s="72" t="s">
        <v>49</v>
      </c>
      <c r="AJ210" s="83">
        <f>IF(AN210=0,M210,0)</f>
        <v>0</v>
      </c>
      <c r="AK210" s="83">
        <f>IF(AN210=15,M210,0)</f>
        <v>0</v>
      </c>
      <c r="AL210" s="83">
        <f>IF(AN210=21,M210,0)</f>
        <v>0</v>
      </c>
      <c r="AN210" s="83">
        <v>21</v>
      </c>
      <c r="AO210" s="83">
        <f>L210*0</f>
        <v>0</v>
      </c>
      <c r="AP210" s="83">
        <f>L210*(1-0)</f>
        <v>0</v>
      </c>
      <c r="AQ210" s="85" t="s">
        <v>52</v>
      </c>
      <c r="AV210" s="83">
        <f>AW210+AX210</f>
        <v>0</v>
      </c>
      <c r="AW210" s="83">
        <f>K210*AO210</f>
        <v>0</v>
      </c>
      <c r="AX210" s="83">
        <f>K210*AP210</f>
        <v>0</v>
      </c>
      <c r="AY210" s="85" t="s">
        <v>366</v>
      </c>
      <c r="AZ210" s="85" t="s">
        <v>344</v>
      </c>
      <c r="BA210" s="72" t="s">
        <v>58</v>
      </c>
      <c r="BC210" s="83">
        <f>AW210+AX210</f>
        <v>0</v>
      </c>
      <c r="BD210" s="83">
        <f>L210/(100-BE210)*100</f>
        <v>0</v>
      </c>
      <c r="BE210" s="83">
        <v>0</v>
      </c>
      <c r="BF210" s="83">
        <f>210</f>
        <v>210</v>
      </c>
      <c r="BH210" s="83">
        <f>K210*AO210</f>
        <v>0</v>
      </c>
      <c r="BI210" s="83">
        <f>K210*AP210</f>
        <v>0</v>
      </c>
      <c r="BJ210" s="83">
        <f>K210*L210</f>
        <v>0</v>
      </c>
      <c r="BK210" s="83"/>
      <c r="BL210" s="83">
        <v>27</v>
      </c>
    </row>
    <row r="211" spans="1:13" ht="15" customHeight="1">
      <c r="A211" s="86"/>
      <c r="C211" s="87" t="s">
        <v>71</v>
      </c>
      <c r="I211" s="87" t="s">
        <v>49</v>
      </c>
      <c r="K211" s="88">
        <v>8</v>
      </c>
      <c r="M211" s="89"/>
    </row>
    <row r="212" spans="1:64" ht="15" customHeight="1">
      <c r="A212" s="65" t="s">
        <v>391</v>
      </c>
      <c r="B212" s="66" t="s">
        <v>398</v>
      </c>
      <c r="C212" s="150" t="s">
        <v>399</v>
      </c>
      <c r="D212" s="150"/>
      <c r="E212" s="150"/>
      <c r="F212" s="150"/>
      <c r="G212" s="150"/>
      <c r="H212" s="150"/>
      <c r="I212" s="150"/>
      <c r="J212" s="66" t="s">
        <v>226</v>
      </c>
      <c r="K212" s="83">
        <v>0.6803</v>
      </c>
      <c r="L212" s="108"/>
      <c r="M212" s="84">
        <f>K212*L212</f>
        <v>0</v>
      </c>
      <c r="Z212" s="83">
        <f>IF(AQ212="5",BJ212,0)</f>
        <v>0</v>
      </c>
      <c r="AB212" s="83">
        <f>IF(AQ212="1",BH212,0)</f>
        <v>0</v>
      </c>
      <c r="AC212" s="83">
        <f>IF(AQ212="1",BI212,0)</f>
        <v>0</v>
      </c>
      <c r="AD212" s="83">
        <f>IF(AQ212="7",BH212,0)</f>
        <v>0</v>
      </c>
      <c r="AE212" s="83">
        <f>IF(AQ212="7",BI212,0)</f>
        <v>0</v>
      </c>
      <c r="AF212" s="83">
        <f>IF(AQ212="2",BH212,0)</f>
        <v>0</v>
      </c>
      <c r="AG212" s="83">
        <f>IF(AQ212="2",BI212,0)</f>
        <v>0</v>
      </c>
      <c r="AH212" s="83">
        <f>IF(AQ212="0",BJ212,0)</f>
        <v>0</v>
      </c>
      <c r="AI212" s="72" t="s">
        <v>49</v>
      </c>
      <c r="AJ212" s="83">
        <f>IF(AN212=0,M212,0)</f>
        <v>0</v>
      </c>
      <c r="AK212" s="83">
        <f>IF(AN212=15,M212,0)</f>
        <v>0</v>
      </c>
      <c r="AL212" s="83">
        <f>IF(AN212=21,M212,0)</f>
        <v>0</v>
      </c>
      <c r="AN212" s="83">
        <v>21</v>
      </c>
      <c r="AO212" s="83">
        <f>L212*0.581301089504246</f>
        <v>0</v>
      </c>
      <c r="AP212" s="83">
        <f>L212*(1-0.581301089504246)</f>
        <v>0</v>
      </c>
      <c r="AQ212" s="85" t="s">
        <v>52</v>
      </c>
      <c r="AV212" s="83">
        <f>AW212+AX212</f>
        <v>0</v>
      </c>
      <c r="AW212" s="83">
        <f>K212*AO212</f>
        <v>0</v>
      </c>
      <c r="AX212" s="83">
        <f>K212*AP212</f>
        <v>0</v>
      </c>
      <c r="AY212" s="85" t="s">
        <v>366</v>
      </c>
      <c r="AZ212" s="85" t="s">
        <v>344</v>
      </c>
      <c r="BA212" s="72" t="s">
        <v>58</v>
      </c>
      <c r="BC212" s="83">
        <f>AW212+AX212</f>
        <v>0</v>
      </c>
      <c r="BD212" s="83">
        <f>L212/(100-BE212)*100</f>
        <v>0</v>
      </c>
      <c r="BE212" s="83">
        <v>0</v>
      </c>
      <c r="BF212" s="83">
        <f>212</f>
        <v>212</v>
      </c>
      <c r="BH212" s="83">
        <f>K212*AO212</f>
        <v>0</v>
      </c>
      <c r="BI212" s="83">
        <f>K212*AP212</f>
        <v>0</v>
      </c>
      <c r="BJ212" s="83">
        <f>K212*L212</f>
        <v>0</v>
      </c>
      <c r="BK212" s="83"/>
      <c r="BL212" s="83">
        <v>27</v>
      </c>
    </row>
    <row r="213" spans="1:13" ht="15" customHeight="1">
      <c r="A213" s="86"/>
      <c r="C213" s="87" t="s">
        <v>400</v>
      </c>
      <c r="I213" s="87" t="s">
        <v>401</v>
      </c>
      <c r="K213" s="88">
        <v>0.1617</v>
      </c>
      <c r="M213" s="89"/>
    </row>
    <row r="214" spans="1:13" ht="15" customHeight="1">
      <c r="A214" s="86"/>
      <c r="C214" s="87" t="s">
        <v>402</v>
      </c>
      <c r="I214" s="87" t="s">
        <v>375</v>
      </c>
      <c r="K214" s="88">
        <v>0.14400000000000002</v>
      </c>
      <c r="M214" s="89"/>
    </row>
    <row r="215" spans="1:13" ht="15" customHeight="1">
      <c r="A215" s="86"/>
      <c r="C215" s="87" t="s">
        <v>403</v>
      </c>
      <c r="I215" s="87" t="s">
        <v>378</v>
      </c>
      <c r="K215" s="88">
        <v>0.09400000000000001</v>
      </c>
      <c r="M215" s="89"/>
    </row>
    <row r="216" spans="1:13" ht="15" customHeight="1">
      <c r="A216" s="86"/>
      <c r="C216" s="87" t="s">
        <v>404</v>
      </c>
      <c r="I216" s="87" t="s">
        <v>405</v>
      </c>
      <c r="K216" s="88">
        <v>0.2806</v>
      </c>
      <c r="M216" s="89"/>
    </row>
    <row r="217" spans="1:64" ht="15" customHeight="1">
      <c r="A217" s="65" t="s">
        <v>394</v>
      </c>
      <c r="B217" s="66" t="s">
        <v>407</v>
      </c>
      <c r="C217" s="150" t="s">
        <v>408</v>
      </c>
      <c r="D217" s="150"/>
      <c r="E217" s="150"/>
      <c r="F217" s="150"/>
      <c r="G217" s="150"/>
      <c r="H217" s="150"/>
      <c r="I217" s="150"/>
      <c r="J217" s="66" t="s">
        <v>226</v>
      </c>
      <c r="K217" s="83">
        <v>1.81225</v>
      </c>
      <c r="L217" s="108"/>
      <c r="M217" s="84">
        <f>K217*L217</f>
        <v>0</v>
      </c>
      <c r="Z217" s="83">
        <f>IF(AQ217="5",BJ217,0)</f>
        <v>0</v>
      </c>
      <c r="AB217" s="83">
        <f>IF(AQ217="1",BH217,0)</f>
        <v>0</v>
      </c>
      <c r="AC217" s="83">
        <f>IF(AQ217="1",BI217,0)</f>
        <v>0</v>
      </c>
      <c r="AD217" s="83">
        <f>IF(AQ217="7",BH217,0)</f>
        <v>0</v>
      </c>
      <c r="AE217" s="83">
        <f>IF(AQ217="7",BI217,0)</f>
        <v>0</v>
      </c>
      <c r="AF217" s="83">
        <f>IF(AQ217="2",BH217,0)</f>
        <v>0</v>
      </c>
      <c r="AG217" s="83">
        <f>IF(AQ217="2",BI217,0)</f>
        <v>0</v>
      </c>
      <c r="AH217" s="83">
        <f>IF(AQ217="0",BJ217,0)</f>
        <v>0</v>
      </c>
      <c r="AI217" s="72" t="s">
        <v>49</v>
      </c>
      <c r="AJ217" s="83">
        <f>IF(AN217=0,M217,0)</f>
        <v>0</v>
      </c>
      <c r="AK217" s="83">
        <f>IF(AN217=15,M217,0)</f>
        <v>0</v>
      </c>
      <c r="AL217" s="83">
        <f>IF(AN217=21,M217,0)</f>
        <v>0</v>
      </c>
      <c r="AN217" s="83">
        <v>21</v>
      </c>
      <c r="AO217" s="83">
        <f>L217*0.898036170446056</f>
        <v>0</v>
      </c>
      <c r="AP217" s="83">
        <f>L217*(1-0.898036170446056)</f>
        <v>0</v>
      </c>
      <c r="AQ217" s="85" t="s">
        <v>52</v>
      </c>
      <c r="AV217" s="83">
        <f>AW217+AX217</f>
        <v>0</v>
      </c>
      <c r="AW217" s="83">
        <f>K217*AO217</f>
        <v>0</v>
      </c>
      <c r="AX217" s="83">
        <f>K217*AP217</f>
        <v>0</v>
      </c>
      <c r="AY217" s="85" t="s">
        <v>366</v>
      </c>
      <c r="AZ217" s="85" t="s">
        <v>344</v>
      </c>
      <c r="BA217" s="72" t="s">
        <v>58</v>
      </c>
      <c r="BC217" s="83">
        <f>AW217+AX217</f>
        <v>0</v>
      </c>
      <c r="BD217" s="83">
        <f>L217/(100-BE217)*100</f>
        <v>0</v>
      </c>
      <c r="BE217" s="83">
        <v>0</v>
      </c>
      <c r="BF217" s="83">
        <f>217</f>
        <v>217</v>
      </c>
      <c r="BH217" s="83">
        <f>K217*AO217</f>
        <v>0</v>
      </c>
      <c r="BI217" s="83">
        <f>K217*AP217</f>
        <v>0</v>
      </c>
      <c r="BJ217" s="83">
        <f>K217*L217</f>
        <v>0</v>
      </c>
      <c r="BK217" s="83"/>
      <c r="BL217" s="83">
        <v>27</v>
      </c>
    </row>
    <row r="218" spans="1:13" ht="15" customHeight="1">
      <c r="A218" s="86"/>
      <c r="C218" s="87" t="s">
        <v>409</v>
      </c>
      <c r="I218" s="87" t="s">
        <v>410</v>
      </c>
      <c r="K218" s="88">
        <v>0.1728</v>
      </c>
      <c r="M218" s="89"/>
    </row>
    <row r="219" spans="1:13" ht="15" customHeight="1">
      <c r="A219" s="86"/>
      <c r="C219" s="87" t="s">
        <v>411</v>
      </c>
      <c r="I219" s="87" t="s">
        <v>412</v>
      </c>
      <c r="K219" s="88">
        <v>0.24300000000000002</v>
      </c>
      <c r="M219" s="89"/>
    </row>
    <row r="220" spans="1:13" ht="15" customHeight="1">
      <c r="A220" s="86"/>
      <c r="C220" s="87" t="s">
        <v>413</v>
      </c>
      <c r="I220" s="87" t="s">
        <v>414</v>
      </c>
      <c r="K220" s="88">
        <v>0.3402</v>
      </c>
      <c r="M220" s="89"/>
    </row>
    <row r="221" spans="1:13" ht="15" customHeight="1">
      <c r="A221" s="86"/>
      <c r="C221" s="87" t="s">
        <v>415</v>
      </c>
      <c r="I221" s="87" t="s">
        <v>416</v>
      </c>
      <c r="K221" s="88">
        <v>0.77175</v>
      </c>
      <c r="M221" s="89"/>
    </row>
    <row r="222" spans="1:13" ht="15" customHeight="1">
      <c r="A222" s="86"/>
      <c r="C222" s="87" t="s">
        <v>417</v>
      </c>
      <c r="I222" s="87" t="s">
        <v>418</v>
      </c>
      <c r="K222" s="88">
        <v>0.064</v>
      </c>
      <c r="M222" s="89"/>
    </row>
    <row r="223" spans="1:13" ht="15" customHeight="1">
      <c r="A223" s="86"/>
      <c r="C223" s="87" t="s">
        <v>419</v>
      </c>
      <c r="I223" s="87" t="s">
        <v>420</v>
      </c>
      <c r="K223" s="88">
        <v>0.22050000000000003</v>
      </c>
      <c r="M223" s="89"/>
    </row>
    <row r="224" spans="1:13" ht="13.5" customHeight="1">
      <c r="A224" s="86"/>
      <c r="B224" s="90" t="s">
        <v>60</v>
      </c>
      <c r="C224" s="161" t="s">
        <v>421</v>
      </c>
      <c r="D224" s="162"/>
      <c r="E224" s="162"/>
      <c r="F224" s="162"/>
      <c r="G224" s="162"/>
      <c r="H224" s="162"/>
      <c r="I224" s="162"/>
      <c r="J224" s="162"/>
      <c r="K224" s="162"/>
      <c r="L224" s="162"/>
      <c r="M224" s="163"/>
    </row>
    <row r="225" spans="1:64" ht="15" customHeight="1">
      <c r="A225" s="65" t="s">
        <v>397</v>
      </c>
      <c r="B225" s="66" t="s">
        <v>423</v>
      </c>
      <c r="C225" s="150" t="s">
        <v>424</v>
      </c>
      <c r="D225" s="150"/>
      <c r="E225" s="150"/>
      <c r="F225" s="150"/>
      <c r="G225" s="150"/>
      <c r="H225" s="150"/>
      <c r="I225" s="150"/>
      <c r="J225" s="66" t="s">
        <v>79</v>
      </c>
      <c r="K225" s="83">
        <v>19.18</v>
      </c>
      <c r="L225" s="108"/>
      <c r="M225" s="84">
        <f>K225*L225</f>
        <v>0</v>
      </c>
      <c r="Z225" s="83">
        <f>IF(AQ225="5",BJ225,0)</f>
        <v>0</v>
      </c>
      <c r="AB225" s="83">
        <f>IF(AQ225="1",BH225,0)</f>
        <v>0</v>
      </c>
      <c r="AC225" s="83">
        <f>IF(AQ225="1",BI225,0)</f>
        <v>0</v>
      </c>
      <c r="AD225" s="83">
        <f>IF(AQ225="7",BH225,0)</f>
        <v>0</v>
      </c>
      <c r="AE225" s="83">
        <f>IF(AQ225="7",BI225,0)</f>
        <v>0</v>
      </c>
      <c r="AF225" s="83">
        <f>IF(AQ225="2",BH225,0)</f>
        <v>0</v>
      </c>
      <c r="AG225" s="83">
        <f>IF(AQ225="2",BI225,0)</f>
        <v>0</v>
      </c>
      <c r="AH225" s="83">
        <f>IF(AQ225="0",BJ225,0)</f>
        <v>0</v>
      </c>
      <c r="AI225" s="72" t="s">
        <v>49</v>
      </c>
      <c r="AJ225" s="83">
        <f>IF(AN225=0,M225,0)</f>
        <v>0</v>
      </c>
      <c r="AK225" s="83">
        <f>IF(AN225=15,M225,0)</f>
        <v>0</v>
      </c>
      <c r="AL225" s="83">
        <f>IF(AN225=21,M225,0)</f>
        <v>0</v>
      </c>
      <c r="AN225" s="83">
        <v>21</v>
      </c>
      <c r="AO225" s="83">
        <f>L225*0.29144634525661</f>
        <v>0</v>
      </c>
      <c r="AP225" s="83">
        <f>L225*(1-0.29144634525661)</f>
        <v>0</v>
      </c>
      <c r="AQ225" s="85" t="s">
        <v>52</v>
      </c>
      <c r="AV225" s="83">
        <f>AW225+AX225</f>
        <v>0</v>
      </c>
      <c r="AW225" s="83">
        <f>K225*AO225</f>
        <v>0</v>
      </c>
      <c r="AX225" s="83">
        <f>K225*AP225</f>
        <v>0</v>
      </c>
      <c r="AY225" s="85" t="s">
        <v>366</v>
      </c>
      <c r="AZ225" s="85" t="s">
        <v>344</v>
      </c>
      <c r="BA225" s="72" t="s">
        <v>58</v>
      </c>
      <c r="BC225" s="83">
        <f>AW225+AX225</f>
        <v>0</v>
      </c>
      <c r="BD225" s="83">
        <f>L225/(100-BE225)*100</f>
        <v>0</v>
      </c>
      <c r="BE225" s="83">
        <v>0</v>
      </c>
      <c r="BF225" s="83">
        <f>225</f>
        <v>225</v>
      </c>
      <c r="BH225" s="83">
        <f>K225*AO225</f>
        <v>0</v>
      </c>
      <c r="BI225" s="83">
        <f>K225*AP225</f>
        <v>0</v>
      </c>
      <c r="BJ225" s="83">
        <f>K225*L225</f>
        <v>0</v>
      </c>
      <c r="BK225" s="83"/>
      <c r="BL225" s="83">
        <v>27</v>
      </c>
    </row>
    <row r="226" spans="1:13" ht="15" customHeight="1">
      <c r="A226" s="86"/>
      <c r="C226" s="87" t="s">
        <v>425</v>
      </c>
      <c r="I226" s="87" t="s">
        <v>410</v>
      </c>
      <c r="K226" s="88">
        <v>2.016</v>
      </c>
      <c r="M226" s="89"/>
    </row>
    <row r="227" spans="1:13" ht="15" customHeight="1">
      <c r="A227" s="86"/>
      <c r="C227" s="87" t="s">
        <v>426</v>
      </c>
      <c r="I227" s="87" t="s">
        <v>412</v>
      </c>
      <c r="K227" s="88">
        <v>2.16</v>
      </c>
      <c r="M227" s="89"/>
    </row>
    <row r="228" spans="1:13" ht="15" customHeight="1">
      <c r="A228" s="86"/>
      <c r="C228" s="87" t="s">
        <v>427</v>
      </c>
      <c r="I228" s="87" t="s">
        <v>414</v>
      </c>
      <c r="K228" s="88">
        <v>3.0240000000000005</v>
      </c>
      <c r="M228" s="89"/>
    </row>
    <row r="229" spans="1:13" ht="15" customHeight="1">
      <c r="A229" s="86"/>
      <c r="C229" s="87" t="s">
        <v>428</v>
      </c>
      <c r="I229" s="87" t="s">
        <v>416</v>
      </c>
      <c r="K229" s="88">
        <v>8.82</v>
      </c>
      <c r="M229" s="89"/>
    </row>
    <row r="230" spans="1:13" ht="15" customHeight="1">
      <c r="A230" s="86"/>
      <c r="C230" s="87" t="s">
        <v>429</v>
      </c>
      <c r="I230" s="87" t="s">
        <v>430</v>
      </c>
      <c r="K230" s="88">
        <v>0.64</v>
      </c>
      <c r="M230" s="89"/>
    </row>
    <row r="231" spans="1:13" ht="15" customHeight="1">
      <c r="A231" s="86"/>
      <c r="C231" s="87" t="s">
        <v>431</v>
      </c>
      <c r="I231" s="87" t="s">
        <v>432</v>
      </c>
      <c r="K231" s="88">
        <v>2.52</v>
      </c>
      <c r="M231" s="89"/>
    </row>
    <row r="232" spans="1:64" ht="15" customHeight="1">
      <c r="A232" s="65" t="s">
        <v>406</v>
      </c>
      <c r="B232" s="66" t="s">
        <v>434</v>
      </c>
      <c r="C232" s="150" t="s">
        <v>435</v>
      </c>
      <c r="D232" s="150"/>
      <c r="E232" s="150"/>
      <c r="F232" s="150"/>
      <c r="G232" s="150"/>
      <c r="H232" s="150"/>
      <c r="I232" s="150"/>
      <c r="J232" s="66" t="s">
        <v>79</v>
      </c>
      <c r="K232" s="83">
        <v>19.18</v>
      </c>
      <c r="L232" s="108"/>
      <c r="M232" s="84">
        <f>K232*L232</f>
        <v>0</v>
      </c>
      <c r="Z232" s="83">
        <f>IF(AQ232="5",BJ232,0)</f>
        <v>0</v>
      </c>
      <c r="AB232" s="83">
        <f>IF(AQ232="1",BH232,0)</f>
        <v>0</v>
      </c>
      <c r="AC232" s="83">
        <f>IF(AQ232="1",BI232,0)</f>
        <v>0</v>
      </c>
      <c r="AD232" s="83">
        <f>IF(AQ232="7",BH232,0)</f>
        <v>0</v>
      </c>
      <c r="AE232" s="83">
        <f>IF(AQ232="7",BI232,0)</f>
        <v>0</v>
      </c>
      <c r="AF232" s="83">
        <f>IF(AQ232="2",BH232,0)</f>
        <v>0</v>
      </c>
      <c r="AG232" s="83">
        <f>IF(AQ232="2",BI232,0)</f>
        <v>0</v>
      </c>
      <c r="AH232" s="83">
        <f>IF(AQ232="0",BJ232,0)</f>
        <v>0</v>
      </c>
      <c r="AI232" s="72" t="s">
        <v>49</v>
      </c>
      <c r="AJ232" s="83">
        <f>IF(AN232=0,M232,0)</f>
        <v>0</v>
      </c>
      <c r="AK232" s="83">
        <f>IF(AN232=15,M232,0)</f>
        <v>0</v>
      </c>
      <c r="AL232" s="83">
        <f>IF(AN232=21,M232,0)</f>
        <v>0</v>
      </c>
      <c r="AN232" s="83">
        <v>21</v>
      </c>
      <c r="AO232" s="83">
        <f>L232*0</f>
        <v>0</v>
      </c>
      <c r="AP232" s="83">
        <f>L232*(1-0)</f>
        <v>0</v>
      </c>
      <c r="AQ232" s="85" t="s">
        <v>52</v>
      </c>
      <c r="AV232" s="83">
        <f>AW232+AX232</f>
        <v>0</v>
      </c>
      <c r="AW232" s="83">
        <f>K232*AO232</f>
        <v>0</v>
      </c>
      <c r="AX232" s="83">
        <f>K232*AP232</f>
        <v>0</v>
      </c>
      <c r="AY232" s="85" t="s">
        <v>366</v>
      </c>
      <c r="AZ232" s="85" t="s">
        <v>344</v>
      </c>
      <c r="BA232" s="72" t="s">
        <v>58</v>
      </c>
      <c r="BC232" s="83">
        <f>AW232+AX232</f>
        <v>0</v>
      </c>
      <c r="BD232" s="83">
        <f>L232/(100-BE232)*100</f>
        <v>0</v>
      </c>
      <c r="BE232" s="83">
        <v>0</v>
      </c>
      <c r="BF232" s="83">
        <f>232</f>
        <v>232</v>
      </c>
      <c r="BH232" s="83">
        <f>K232*AO232</f>
        <v>0</v>
      </c>
      <c r="BI232" s="83">
        <f>K232*AP232</f>
        <v>0</v>
      </c>
      <c r="BJ232" s="83">
        <f>K232*L232</f>
        <v>0</v>
      </c>
      <c r="BK232" s="83"/>
      <c r="BL232" s="83">
        <v>27</v>
      </c>
    </row>
    <row r="233" spans="1:13" ht="15" customHeight="1">
      <c r="A233" s="86"/>
      <c r="C233" s="87" t="s">
        <v>436</v>
      </c>
      <c r="I233" s="87" t="s">
        <v>49</v>
      </c>
      <c r="K233" s="88">
        <v>19.180000000000003</v>
      </c>
      <c r="M233" s="89"/>
    </row>
    <row r="234" spans="1:64" ht="15" customHeight="1">
      <c r="A234" s="65" t="s">
        <v>422</v>
      </c>
      <c r="B234" s="66" t="s">
        <v>438</v>
      </c>
      <c r="C234" s="150" t="s">
        <v>439</v>
      </c>
      <c r="D234" s="150"/>
      <c r="E234" s="150"/>
      <c r="F234" s="150"/>
      <c r="G234" s="150"/>
      <c r="H234" s="150"/>
      <c r="I234" s="150"/>
      <c r="J234" s="66" t="s">
        <v>226</v>
      </c>
      <c r="K234" s="83">
        <v>0.486</v>
      </c>
      <c r="L234" s="108"/>
      <c r="M234" s="84">
        <f>K234*L234</f>
        <v>0</v>
      </c>
      <c r="Z234" s="83">
        <f>IF(AQ234="5",BJ234,0)</f>
        <v>0</v>
      </c>
      <c r="AB234" s="83">
        <f>IF(AQ234="1",BH234,0)</f>
        <v>0</v>
      </c>
      <c r="AC234" s="83">
        <f>IF(AQ234="1",BI234,0)</f>
        <v>0</v>
      </c>
      <c r="AD234" s="83">
        <f>IF(AQ234="7",BH234,0)</f>
        <v>0</v>
      </c>
      <c r="AE234" s="83">
        <f>IF(AQ234="7",BI234,0)</f>
        <v>0</v>
      </c>
      <c r="AF234" s="83">
        <f>IF(AQ234="2",BH234,0)</f>
        <v>0</v>
      </c>
      <c r="AG234" s="83">
        <f>IF(AQ234="2",BI234,0)</f>
        <v>0</v>
      </c>
      <c r="AH234" s="83">
        <f>IF(AQ234="0",BJ234,0)</f>
        <v>0</v>
      </c>
      <c r="AI234" s="72" t="s">
        <v>49</v>
      </c>
      <c r="AJ234" s="83">
        <f>IF(AN234=0,M234,0)</f>
        <v>0</v>
      </c>
      <c r="AK234" s="83">
        <f>IF(AN234=15,M234,0)</f>
        <v>0</v>
      </c>
      <c r="AL234" s="83">
        <f>IF(AN234=21,M234,0)</f>
        <v>0</v>
      </c>
      <c r="AN234" s="83">
        <v>21</v>
      </c>
      <c r="AO234" s="83">
        <f>L234*0.578527948536816</f>
        <v>0</v>
      </c>
      <c r="AP234" s="83">
        <f>L234*(1-0.578527948536816)</f>
        <v>0</v>
      </c>
      <c r="AQ234" s="85" t="s">
        <v>52</v>
      </c>
      <c r="AV234" s="83">
        <f>AW234+AX234</f>
        <v>0</v>
      </c>
      <c r="AW234" s="83">
        <f>K234*AO234</f>
        <v>0</v>
      </c>
      <c r="AX234" s="83">
        <f>K234*AP234</f>
        <v>0</v>
      </c>
      <c r="AY234" s="85" t="s">
        <v>366</v>
      </c>
      <c r="AZ234" s="85" t="s">
        <v>344</v>
      </c>
      <c r="BA234" s="72" t="s">
        <v>58</v>
      </c>
      <c r="BC234" s="83">
        <f>AW234+AX234</f>
        <v>0</v>
      </c>
      <c r="BD234" s="83">
        <f>L234/(100-BE234)*100</f>
        <v>0</v>
      </c>
      <c r="BE234" s="83">
        <v>0</v>
      </c>
      <c r="BF234" s="83">
        <f>234</f>
        <v>234</v>
      </c>
      <c r="BH234" s="83">
        <f>K234*AO234</f>
        <v>0</v>
      </c>
      <c r="BI234" s="83">
        <f>K234*AP234</f>
        <v>0</v>
      </c>
      <c r="BJ234" s="83">
        <f>K234*L234</f>
        <v>0</v>
      </c>
      <c r="BK234" s="83"/>
      <c r="BL234" s="83">
        <v>27</v>
      </c>
    </row>
    <row r="235" spans="1:13" ht="15" customHeight="1">
      <c r="A235" s="86"/>
      <c r="C235" s="87" t="s">
        <v>440</v>
      </c>
      <c r="I235" s="87" t="s">
        <v>361</v>
      </c>
      <c r="K235" s="88">
        <v>0.48600000000000004</v>
      </c>
      <c r="M235" s="89"/>
    </row>
    <row r="236" spans="1:47" ht="15" customHeight="1">
      <c r="A236" s="78" t="s">
        <v>49</v>
      </c>
      <c r="B236" s="79" t="s">
        <v>242</v>
      </c>
      <c r="C236" s="168" t="s">
        <v>441</v>
      </c>
      <c r="D236" s="168"/>
      <c r="E236" s="168"/>
      <c r="F236" s="168"/>
      <c r="G236" s="168"/>
      <c r="H236" s="168"/>
      <c r="I236" s="168"/>
      <c r="J236" s="80" t="s">
        <v>3</v>
      </c>
      <c r="K236" s="80" t="s">
        <v>3</v>
      </c>
      <c r="L236" s="80" t="s">
        <v>3</v>
      </c>
      <c r="M236" s="81">
        <f>SUM(M237:M256)</f>
        <v>0</v>
      </c>
      <c r="AI236" s="72" t="s">
        <v>49</v>
      </c>
      <c r="AS236" s="82">
        <f>SUM(AJ237:AJ256)</f>
        <v>0</v>
      </c>
      <c r="AT236" s="82">
        <f>SUM(AK237:AK256)</f>
        <v>0</v>
      </c>
      <c r="AU236" s="82">
        <f>SUM(AL237:AL256)</f>
        <v>0</v>
      </c>
    </row>
    <row r="237" spans="1:64" ht="15" customHeight="1">
      <c r="A237" s="65" t="s">
        <v>433</v>
      </c>
      <c r="B237" s="66" t="s">
        <v>443</v>
      </c>
      <c r="C237" s="150" t="s">
        <v>444</v>
      </c>
      <c r="D237" s="150"/>
      <c r="E237" s="150"/>
      <c r="F237" s="150"/>
      <c r="G237" s="150"/>
      <c r="H237" s="150"/>
      <c r="I237" s="150"/>
      <c r="J237" s="66" t="s">
        <v>226</v>
      </c>
      <c r="K237" s="83">
        <v>3.34</v>
      </c>
      <c r="L237" s="108"/>
      <c r="M237" s="84">
        <f>K237*L237</f>
        <v>0</v>
      </c>
      <c r="Z237" s="83">
        <f>IF(AQ237="5",BJ237,0)</f>
        <v>0</v>
      </c>
      <c r="AB237" s="83">
        <f>IF(AQ237="1",BH237,0)</f>
        <v>0</v>
      </c>
      <c r="AC237" s="83">
        <f>IF(AQ237="1",BI237,0)</f>
        <v>0</v>
      </c>
      <c r="AD237" s="83">
        <f>IF(AQ237="7",BH237,0)</f>
        <v>0</v>
      </c>
      <c r="AE237" s="83">
        <f>IF(AQ237="7",BI237,0)</f>
        <v>0</v>
      </c>
      <c r="AF237" s="83">
        <f>IF(AQ237="2",BH237,0)</f>
        <v>0</v>
      </c>
      <c r="AG237" s="83">
        <f>IF(AQ237="2",BI237,0)</f>
        <v>0</v>
      </c>
      <c r="AH237" s="83">
        <f>IF(AQ237="0",BJ237,0)</f>
        <v>0</v>
      </c>
      <c r="AI237" s="72" t="s">
        <v>49</v>
      </c>
      <c r="AJ237" s="83">
        <f>IF(AN237=0,M237,0)</f>
        <v>0</v>
      </c>
      <c r="AK237" s="83">
        <f>IF(AN237=15,M237,0)</f>
        <v>0</v>
      </c>
      <c r="AL237" s="83">
        <f>IF(AN237=21,M237,0)</f>
        <v>0</v>
      </c>
      <c r="AN237" s="83">
        <v>21</v>
      </c>
      <c r="AO237" s="83">
        <f>L237*0.850889434889435</f>
        <v>0</v>
      </c>
      <c r="AP237" s="83">
        <f>L237*(1-0.850889434889435)</f>
        <v>0</v>
      </c>
      <c r="AQ237" s="85" t="s">
        <v>52</v>
      </c>
      <c r="AV237" s="83">
        <f>AW237+AX237</f>
        <v>0</v>
      </c>
      <c r="AW237" s="83">
        <f>K237*AO237</f>
        <v>0</v>
      </c>
      <c r="AX237" s="83">
        <f>K237*AP237</f>
        <v>0</v>
      </c>
      <c r="AY237" s="85" t="s">
        <v>445</v>
      </c>
      <c r="AZ237" s="85" t="s">
        <v>446</v>
      </c>
      <c r="BA237" s="72" t="s">
        <v>58</v>
      </c>
      <c r="BC237" s="83">
        <f>AW237+AX237</f>
        <v>0</v>
      </c>
      <c r="BD237" s="83">
        <f>L237/(100-BE237)*100</f>
        <v>0</v>
      </c>
      <c r="BE237" s="83">
        <v>0</v>
      </c>
      <c r="BF237" s="83">
        <f>237</f>
        <v>237</v>
      </c>
      <c r="BH237" s="83">
        <f>K237*AO237</f>
        <v>0</v>
      </c>
      <c r="BI237" s="83">
        <f>K237*AP237</f>
        <v>0</v>
      </c>
      <c r="BJ237" s="83">
        <f>K237*L237</f>
        <v>0</v>
      </c>
      <c r="BK237" s="83"/>
      <c r="BL237" s="83">
        <v>31</v>
      </c>
    </row>
    <row r="238" spans="1:13" ht="15" customHeight="1">
      <c r="A238" s="86"/>
      <c r="C238" s="87" t="s">
        <v>447</v>
      </c>
      <c r="I238" s="87" t="s">
        <v>375</v>
      </c>
      <c r="K238" s="88">
        <v>3.3400000000000003</v>
      </c>
      <c r="M238" s="89"/>
    </row>
    <row r="239" spans="1:13" ht="40.5" customHeight="1">
      <c r="A239" s="86"/>
      <c r="B239" s="90" t="s">
        <v>60</v>
      </c>
      <c r="C239" s="161" t="s">
        <v>448</v>
      </c>
      <c r="D239" s="162"/>
      <c r="E239" s="162"/>
      <c r="F239" s="162"/>
      <c r="G239" s="162"/>
      <c r="H239" s="162"/>
      <c r="I239" s="162"/>
      <c r="J239" s="162"/>
      <c r="K239" s="162"/>
      <c r="L239" s="162"/>
      <c r="M239" s="163"/>
    </row>
    <row r="240" spans="1:64" ht="15" customHeight="1">
      <c r="A240" s="65" t="s">
        <v>437</v>
      </c>
      <c r="B240" s="66" t="s">
        <v>450</v>
      </c>
      <c r="C240" s="150" t="s">
        <v>451</v>
      </c>
      <c r="D240" s="150"/>
      <c r="E240" s="150"/>
      <c r="F240" s="150"/>
      <c r="G240" s="150"/>
      <c r="H240" s="150"/>
      <c r="I240" s="150"/>
      <c r="J240" s="66" t="s">
        <v>79</v>
      </c>
      <c r="K240" s="83">
        <v>35</v>
      </c>
      <c r="L240" s="108"/>
      <c r="M240" s="84">
        <f>K240*L240</f>
        <v>0</v>
      </c>
      <c r="Z240" s="83">
        <f>IF(AQ240="5",BJ240,0)</f>
        <v>0</v>
      </c>
      <c r="AB240" s="83">
        <f>IF(AQ240="1",BH240,0)</f>
        <v>0</v>
      </c>
      <c r="AC240" s="83">
        <f>IF(AQ240="1",BI240,0)</f>
        <v>0</v>
      </c>
      <c r="AD240" s="83">
        <f>IF(AQ240="7",BH240,0)</f>
        <v>0</v>
      </c>
      <c r="AE240" s="83">
        <f>IF(AQ240="7",BI240,0)</f>
        <v>0</v>
      </c>
      <c r="AF240" s="83">
        <f>IF(AQ240="2",BH240,0)</f>
        <v>0</v>
      </c>
      <c r="AG240" s="83">
        <f>IF(AQ240="2",BI240,0)</f>
        <v>0</v>
      </c>
      <c r="AH240" s="83">
        <f>IF(AQ240="0",BJ240,0)</f>
        <v>0</v>
      </c>
      <c r="AI240" s="72" t="s">
        <v>49</v>
      </c>
      <c r="AJ240" s="83">
        <f>IF(AN240=0,M240,0)</f>
        <v>0</v>
      </c>
      <c r="AK240" s="83">
        <f>IF(AN240=15,M240,0)</f>
        <v>0</v>
      </c>
      <c r="AL240" s="83">
        <f>IF(AN240=21,M240,0)</f>
        <v>0</v>
      </c>
      <c r="AN240" s="83">
        <v>21</v>
      </c>
      <c r="AO240" s="83">
        <f>L240*0.312690387713115</f>
        <v>0</v>
      </c>
      <c r="AP240" s="83">
        <f>L240*(1-0.312690387713115)</f>
        <v>0</v>
      </c>
      <c r="AQ240" s="85" t="s">
        <v>52</v>
      </c>
      <c r="AV240" s="83">
        <f>AW240+AX240</f>
        <v>0</v>
      </c>
      <c r="AW240" s="83">
        <f>K240*AO240</f>
        <v>0</v>
      </c>
      <c r="AX240" s="83">
        <f>K240*AP240</f>
        <v>0</v>
      </c>
      <c r="AY240" s="85" t="s">
        <v>445</v>
      </c>
      <c r="AZ240" s="85" t="s">
        <v>446</v>
      </c>
      <c r="BA240" s="72" t="s">
        <v>58</v>
      </c>
      <c r="BC240" s="83">
        <f>AW240+AX240</f>
        <v>0</v>
      </c>
      <c r="BD240" s="83">
        <f>L240/(100-BE240)*100</f>
        <v>0</v>
      </c>
      <c r="BE240" s="83">
        <v>0</v>
      </c>
      <c r="BF240" s="83">
        <f>240</f>
        <v>240</v>
      </c>
      <c r="BH240" s="83">
        <f>K240*AO240</f>
        <v>0</v>
      </c>
      <c r="BI240" s="83">
        <f>K240*AP240</f>
        <v>0</v>
      </c>
      <c r="BJ240" s="83">
        <f>K240*L240</f>
        <v>0</v>
      </c>
      <c r="BK240" s="83"/>
      <c r="BL240" s="83">
        <v>31</v>
      </c>
    </row>
    <row r="241" spans="1:13" ht="15" customHeight="1">
      <c r="A241" s="86"/>
      <c r="C241" s="87" t="s">
        <v>271</v>
      </c>
      <c r="I241" s="87" t="s">
        <v>375</v>
      </c>
      <c r="K241" s="88">
        <v>35</v>
      </c>
      <c r="M241" s="89"/>
    </row>
    <row r="242" spans="1:13" ht="13.5" customHeight="1">
      <c r="A242" s="86"/>
      <c r="B242" s="90" t="s">
        <v>60</v>
      </c>
      <c r="C242" s="161" t="s">
        <v>452</v>
      </c>
      <c r="D242" s="162"/>
      <c r="E242" s="162"/>
      <c r="F242" s="162"/>
      <c r="G242" s="162"/>
      <c r="H242" s="162"/>
      <c r="I242" s="162"/>
      <c r="J242" s="162"/>
      <c r="K242" s="162"/>
      <c r="L242" s="162"/>
      <c r="M242" s="163"/>
    </row>
    <row r="243" spans="1:64" ht="15" customHeight="1">
      <c r="A243" s="65" t="s">
        <v>442</v>
      </c>
      <c r="B243" s="66" t="s">
        <v>454</v>
      </c>
      <c r="C243" s="150" t="s">
        <v>455</v>
      </c>
      <c r="D243" s="150"/>
      <c r="E243" s="150"/>
      <c r="F243" s="150"/>
      <c r="G243" s="150"/>
      <c r="H243" s="150"/>
      <c r="I243" s="150"/>
      <c r="J243" s="66" t="s">
        <v>79</v>
      </c>
      <c r="K243" s="83">
        <v>35</v>
      </c>
      <c r="L243" s="108"/>
      <c r="M243" s="84">
        <f>K243*L243</f>
        <v>0</v>
      </c>
      <c r="Z243" s="83">
        <f>IF(AQ243="5",BJ243,0)</f>
        <v>0</v>
      </c>
      <c r="AB243" s="83">
        <f>IF(AQ243="1",BH243,0)</f>
        <v>0</v>
      </c>
      <c r="AC243" s="83">
        <f>IF(AQ243="1",BI243,0)</f>
        <v>0</v>
      </c>
      <c r="AD243" s="83">
        <f>IF(AQ243="7",BH243,0)</f>
        <v>0</v>
      </c>
      <c r="AE243" s="83">
        <f>IF(AQ243="7",BI243,0)</f>
        <v>0</v>
      </c>
      <c r="AF243" s="83">
        <f>IF(AQ243="2",BH243,0)</f>
        <v>0</v>
      </c>
      <c r="AG243" s="83">
        <f>IF(AQ243="2",BI243,0)</f>
        <v>0</v>
      </c>
      <c r="AH243" s="83">
        <f>IF(AQ243="0",BJ243,0)</f>
        <v>0</v>
      </c>
      <c r="AI243" s="72" t="s">
        <v>49</v>
      </c>
      <c r="AJ243" s="83">
        <f>IF(AN243=0,M243,0)</f>
        <v>0</v>
      </c>
      <c r="AK243" s="83">
        <f>IF(AN243=15,M243,0)</f>
        <v>0</v>
      </c>
      <c r="AL243" s="83">
        <f>IF(AN243=21,M243,0)</f>
        <v>0</v>
      </c>
      <c r="AN243" s="83">
        <v>21</v>
      </c>
      <c r="AO243" s="83">
        <f>L243*0</f>
        <v>0</v>
      </c>
      <c r="AP243" s="83">
        <f>L243*(1-0)</f>
        <v>0</v>
      </c>
      <c r="AQ243" s="85" t="s">
        <v>52</v>
      </c>
      <c r="AV243" s="83">
        <f>AW243+AX243</f>
        <v>0</v>
      </c>
      <c r="AW243" s="83">
        <f>K243*AO243</f>
        <v>0</v>
      </c>
      <c r="AX243" s="83">
        <f>K243*AP243</f>
        <v>0</v>
      </c>
      <c r="AY243" s="85" t="s">
        <v>445</v>
      </c>
      <c r="AZ243" s="85" t="s">
        <v>446</v>
      </c>
      <c r="BA243" s="72" t="s">
        <v>58</v>
      </c>
      <c r="BC243" s="83">
        <f>AW243+AX243</f>
        <v>0</v>
      </c>
      <c r="BD243" s="83">
        <f>L243/(100-BE243)*100</f>
        <v>0</v>
      </c>
      <c r="BE243" s="83">
        <v>0</v>
      </c>
      <c r="BF243" s="83">
        <f>243</f>
        <v>243</v>
      </c>
      <c r="BH243" s="83">
        <f>K243*AO243</f>
        <v>0</v>
      </c>
      <c r="BI243" s="83">
        <f>K243*AP243</f>
        <v>0</v>
      </c>
      <c r="BJ243" s="83">
        <f>K243*L243</f>
        <v>0</v>
      </c>
      <c r="BK243" s="83"/>
      <c r="BL243" s="83">
        <v>31</v>
      </c>
    </row>
    <row r="244" spans="1:13" ht="15" customHeight="1">
      <c r="A244" s="86"/>
      <c r="C244" s="87" t="s">
        <v>271</v>
      </c>
      <c r="I244" s="87" t="s">
        <v>49</v>
      </c>
      <c r="K244" s="88">
        <v>35</v>
      </c>
      <c r="M244" s="89"/>
    </row>
    <row r="245" spans="1:64" ht="15" customHeight="1">
      <c r="A245" s="65" t="s">
        <v>449</v>
      </c>
      <c r="B245" s="66" t="s">
        <v>457</v>
      </c>
      <c r="C245" s="150" t="s">
        <v>458</v>
      </c>
      <c r="D245" s="150"/>
      <c r="E245" s="150"/>
      <c r="F245" s="150"/>
      <c r="G245" s="150"/>
      <c r="H245" s="150"/>
      <c r="I245" s="150"/>
      <c r="J245" s="66" t="s">
        <v>226</v>
      </c>
      <c r="K245" s="83">
        <v>1.94</v>
      </c>
      <c r="L245" s="108"/>
      <c r="M245" s="84">
        <f>K245*L245</f>
        <v>0</v>
      </c>
      <c r="Z245" s="83">
        <f>IF(AQ245="5",BJ245,0)</f>
        <v>0</v>
      </c>
      <c r="AB245" s="83">
        <f>IF(AQ245="1",BH245,0)</f>
        <v>0</v>
      </c>
      <c r="AC245" s="83">
        <f>IF(AQ245="1",BI245,0)</f>
        <v>0</v>
      </c>
      <c r="AD245" s="83">
        <f>IF(AQ245="7",BH245,0)</f>
        <v>0</v>
      </c>
      <c r="AE245" s="83">
        <f>IF(AQ245="7",BI245,0)</f>
        <v>0</v>
      </c>
      <c r="AF245" s="83">
        <f>IF(AQ245="2",BH245,0)</f>
        <v>0</v>
      </c>
      <c r="AG245" s="83">
        <f>IF(AQ245="2",BI245,0)</f>
        <v>0</v>
      </c>
      <c r="AH245" s="83">
        <f>IF(AQ245="0",BJ245,0)</f>
        <v>0</v>
      </c>
      <c r="AI245" s="72" t="s">
        <v>49</v>
      </c>
      <c r="AJ245" s="83">
        <f>IF(AN245=0,M245,0)</f>
        <v>0</v>
      </c>
      <c r="AK245" s="83">
        <f>IF(AN245=15,M245,0)</f>
        <v>0</v>
      </c>
      <c r="AL245" s="83">
        <f>IF(AN245=21,M245,0)</f>
        <v>0</v>
      </c>
      <c r="AN245" s="83">
        <v>21</v>
      </c>
      <c r="AO245" s="83">
        <f>L245*0.844287719298246</f>
        <v>0</v>
      </c>
      <c r="AP245" s="83">
        <f>L245*(1-0.844287719298246)</f>
        <v>0</v>
      </c>
      <c r="AQ245" s="85" t="s">
        <v>52</v>
      </c>
      <c r="AV245" s="83">
        <f>AW245+AX245</f>
        <v>0</v>
      </c>
      <c r="AW245" s="83">
        <f>K245*AO245</f>
        <v>0</v>
      </c>
      <c r="AX245" s="83">
        <f>K245*AP245</f>
        <v>0</v>
      </c>
      <c r="AY245" s="85" t="s">
        <v>445</v>
      </c>
      <c r="AZ245" s="85" t="s">
        <v>446</v>
      </c>
      <c r="BA245" s="72" t="s">
        <v>58</v>
      </c>
      <c r="BC245" s="83">
        <f>AW245+AX245</f>
        <v>0</v>
      </c>
      <c r="BD245" s="83">
        <f>L245/(100-BE245)*100</f>
        <v>0</v>
      </c>
      <c r="BE245" s="83">
        <v>0</v>
      </c>
      <c r="BF245" s="83">
        <f>245</f>
        <v>245</v>
      </c>
      <c r="BH245" s="83">
        <f>K245*AO245</f>
        <v>0</v>
      </c>
      <c r="BI245" s="83">
        <f>K245*AP245</f>
        <v>0</v>
      </c>
      <c r="BJ245" s="83">
        <f>K245*L245</f>
        <v>0</v>
      </c>
      <c r="BK245" s="83"/>
      <c r="BL245" s="83">
        <v>31</v>
      </c>
    </row>
    <row r="246" spans="1:13" ht="15" customHeight="1">
      <c r="A246" s="86"/>
      <c r="C246" s="87" t="s">
        <v>459</v>
      </c>
      <c r="I246" s="87" t="s">
        <v>378</v>
      </c>
      <c r="K246" s="88">
        <v>1.9400000000000002</v>
      </c>
      <c r="M246" s="89"/>
    </row>
    <row r="247" spans="1:13" ht="54" customHeight="1">
      <c r="A247" s="86"/>
      <c r="B247" s="90" t="s">
        <v>60</v>
      </c>
      <c r="C247" s="161" t="s">
        <v>460</v>
      </c>
      <c r="D247" s="162"/>
      <c r="E247" s="162"/>
      <c r="F247" s="162"/>
      <c r="G247" s="162"/>
      <c r="H247" s="162"/>
      <c r="I247" s="162"/>
      <c r="J247" s="162"/>
      <c r="K247" s="162"/>
      <c r="L247" s="162"/>
      <c r="M247" s="163"/>
    </row>
    <row r="248" spans="1:64" ht="15" customHeight="1">
      <c r="A248" s="65" t="s">
        <v>453</v>
      </c>
      <c r="B248" s="66" t="s">
        <v>462</v>
      </c>
      <c r="C248" s="150" t="s">
        <v>463</v>
      </c>
      <c r="D248" s="150"/>
      <c r="E248" s="150"/>
      <c r="F248" s="150"/>
      <c r="G248" s="150"/>
      <c r="H248" s="150"/>
      <c r="I248" s="150"/>
      <c r="J248" s="66" t="s">
        <v>79</v>
      </c>
      <c r="K248" s="83">
        <v>21</v>
      </c>
      <c r="L248" s="108"/>
      <c r="M248" s="84">
        <f>K248*L248</f>
        <v>0</v>
      </c>
      <c r="Z248" s="83">
        <f>IF(AQ248="5",BJ248,0)</f>
        <v>0</v>
      </c>
      <c r="AB248" s="83">
        <f>IF(AQ248="1",BH248,0)</f>
        <v>0</v>
      </c>
      <c r="AC248" s="83">
        <f>IF(AQ248="1",BI248,0)</f>
        <v>0</v>
      </c>
      <c r="AD248" s="83">
        <f>IF(AQ248="7",BH248,0)</f>
        <v>0</v>
      </c>
      <c r="AE248" s="83">
        <f>IF(AQ248="7",BI248,0)</f>
        <v>0</v>
      </c>
      <c r="AF248" s="83">
        <f>IF(AQ248="2",BH248,0)</f>
        <v>0</v>
      </c>
      <c r="AG248" s="83">
        <f>IF(AQ248="2",BI248,0)</f>
        <v>0</v>
      </c>
      <c r="AH248" s="83">
        <f>IF(AQ248="0",BJ248,0)</f>
        <v>0</v>
      </c>
      <c r="AI248" s="72" t="s">
        <v>49</v>
      </c>
      <c r="AJ248" s="83">
        <f>IF(AN248=0,M248,0)</f>
        <v>0</v>
      </c>
      <c r="AK248" s="83">
        <f>IF(AN248=15,M248,0)</f>
        <v>0</v>
      </c>
      <c r="AL248" s="83">
        <f>IF(AN248=21,M248,0)</f>
        <v>0</v>
      </c>
      <c r="AN248" s="83">
        <v>21</v>
      </c>
      <c r="AO248" s="83">
        <f>L248*0.392759433962264</f>
        <v>0</v>
      </c>
      <c r="AP248" s="83">
        <f>L248*(1-0.392759433962264)</f>
        <v>0</v>
      </c>
      <c r="AQ248" s="85" t="s">
        <v>52</v>
      </c>
      <c r="AV248" s="83">
        <f>AW248+AX248</f>
        <v>0</v>
      </c>
      <c r="AW248" s="83">
        <f>K248*AO248</f>
        <v>0</v>
      </c>
      <c r="AX248" s="83">
        <f>K248*AP248</f>
        <v>0</v>
      </c>
      <c r="AY248" s="85" t="s">
        <v>445</v>
      </c>
      <c r="AZ248" s="85" t="s">
        <v>446</v>
      </c>
      <c r="BA248" s="72" t="s">
        <v>58</v>
      </c>
      <c r="BC248" s="83">
        <f>AW248+AX248</f>
        <v>0</v>
      </c>
      <c r="BD248" s="83">
        <f>L248/(100-BE248)*100</f>
        <v>0</v>
      </c>
      <c r="BE248" s="83">
        <v>0</v>
      </c>
      <c r="BF248" s="83">
        <f>248</f>
        <v>248</v>
      </c>
      <c r="BH248" s="83">
        <f>K248*AO248</f>
        <v>0</v>
      </c>
      <c r="BI248" s="83">
        <f>K248*AP248</f>
        <v>0</v>
      </c>
      <c r="BJ248" s="83">
        <f>K248*L248</f>
        <v>0</v>
      </c>
      <c r="BK248" s="83"/>
      <c r="BL248" s="83">
        <v>31</v>
      </c>
    </row>
    <row r="249" spans="1:13" ht="15" customHeight="1">
      <c r="A249" s="86"/>
      <c r="C249" s="87" t="s">
        <v>183</v>
      </c>
      <c r="I249" s="87" t="s">
        <v>378</v>
      </c>
      <c r="K249" s="88">
        <v>21</v>
      </c>
      <c r="M249" s="89"/>
    </row>
    <row r="250" spans="1:13" ht="13.5" customHeight="1">
      <c r="A250" s="86"/>
      <c r="B250" s="90" t="s">
        <v>60</v>
      </c>
      <c r="C250" s="161" t="s">
        <v>464</v>
      </c>
      <c r="D250" s="162"/>
      <c r="E250" s="162"/>
      <c r="F250" s="162"/>
      <c r="G250" s="162"/>
      <c r="H250" s="162"/>
      <c r="I250" s="162"/>
      <c r="J250" s="162"/>
      <c r="K250" s="162"/>
      <c r="L250" s="162"/>
      <c r="M250" s="163"/>
    </row>
    <row r="251" spans="1:64" ht="15" customHeight="1">
      <c r="A251" s="65" t="s">
        <v>456</v>
      </c>
      <c r="B251" s="66" t="s">
        <v>466</v>
      </c>
      <c r="C251" s="150" t="s">
        <v>467</v>
      </c>
      <c r="D251" s="150"/>
      <c r="E251" s="150"/>
      <c r="F251" s="150"/>
      <c r="G251" s="150"/>
      <c r="H251" s="150"/>
      <c r="I251" s="150"/>
      <c r="J251" s="66" t="s">
        <v>79</v>
      </c>
      <c r="K251" s="83">
        <v>21</v>
      </c>
      <c r="L251" s="108"/>
      <c r="M251" s="84">
        <f>K251*L251</f>
        <v>0</v>
      </c>
      <c r="Z251" s="83">
        <f>IF(AQ251="5",BJ251,0)</f>
        <v>0</v>
      </c>
      <c r="AB251" s="83">
        <f>IF(AQ251="1",BH251,0)</f>
        <v>0</v>
      </c>
      <c r="AC251" s="83">
        <f>IF(AQ251="1",BI251,0)</f>
        <v>0</v>
      </c>
      <c r="AD251" s="83">
        <f>IF(AQ251="7",BH251,0)</f>
        <v>0</v>
      </c>
      <c r="AE251" s="83">
        <f>IF(AQ251="7",BI251,0)</f>
        <v>0</v>
      </c>
      <c r="AF251" s="83">
        <f>IF(AQ251="2",BH251,0)</f>
        <v>0</v>
      </c>
      <c r="AG251" s="83">
        <f>IF(AQ251="2",BI251,0)</f>
        <v>0</v>
      </c>
      <c r="AH251" s="83">
        <f>IF(AQ251="0",BJ251,0)</f>
        <v>0</v>
      </c>
      <c r="AI251" s="72" t="s">
        <v>49</v>
      </c>
      <c r="AJ251" s="83">
        <f>IF(AN251=0,M251,0)</f>
        <v>0</v>
      </c>
      <c r="AK251" s="83">
        <f>IF(AN251=15,M251,0)</f>
        <v>0</v>
      </c>
      <c r="AL251" s="83">
        <f>IF(AN251=21,M251,0)</f>
        <v>0</v>
      </c>
      <c r="AN251" s="83">
        <v>21</v>
      </c>
      <c r="AO251" s="83">
        <f>L251*0</f>
        <v>0</v>
      </c>
      <c r="AP251" s="83">
        <f>L251*(1-0)</f>
        <v>0</v>
      </c>
      <c r="AQ251" s="85" t="s">
        <v>52</v>
      </c>
      <c r="AV251" s="83">
        <f>AW251+AX251</f>
        <v>0</v>
      </c>
      <c r="AW251" s="83">
        <f>K251*AO251</f>
        <v>0</v>
      </c>
      <c r="AX251" s="83">
        <f>K251*AP251</f>
        <v>0</v>
      </c>
      <c r="AY251" s="85" t="s">
        <v>445</v>
      </c>
      <c r="AZ251" s="85" t="s">
        <v>446</v>
      </c>
      <c r="BA251" s="72" t="s">
        <v>58</v>
      </c>
      <c r="BC251" s="83">
        <f>AW251+AX251</f>
        <v>0</v>
      </c>
      <c r="BD251" s="83">
        <f>L251/(100-BE251)*100</f>
        <v>0</v>
      </c>
      <c r="BE251" s="83">
        <v>0</v>
      </c>
      <c r="BF251" s="83">
        <f>251</f>
        <v>251</v>
      </c>
      <c r="BH251" s="83">
        <f>K251*AO251</f>
        <v>0</v>
      </c>
      <c r="BI251" s="83">
        <f>K251*AP251</f>
        <v>0</v>
      </c>
      <c r="BJ251" s="83">
        <f>K251*L251</f>
        <v>0</v>
      </c>
      <c r="BK251" s="83"/>
      <c r="BL251" s="83">
        <v>31</v>
      </c>
    </row>
    <row r="252" spans="1:13" ht="15" customHeight="1">
      <c r="A252" s="86"/>
      <c r="C252" s="87" t="s">
        <v>183</v>
      </c>
      <c r="I252" s="87" t="s">
        <v>49</v>
      </c>
      <c r="K252" s="88">
        <v>21</v>
      </c>
      <c r="M252" s="89"/>
    </row>
    <row r="253" spans="1:64" ht="15" customHeight="1">
      <c r="A253" s="65" t="s">
        <v>461</v>
      </c>
      <c r="B253" s="66" t="s">
        <v>469</v>
      </c>
      <c r="C253" s="150" t="s">
        <v>470</v>
      </c>
      <c r="D253" s="150"/>
      <c r="E253" s="150"/>
      <c r="F253" s="150"/>
      <c r="G253" s="150"/>
      <c r="H253" s="150"/>
      <c r="I253" s="150"/>
      <c r="J253" s="66" t="s">
        <v>226</v>
      </c>
      <c r="K253" s="83">
        <v>2.001</v>
      </c>
      <c r="L253" s="108"/>
      <c r="M253" s="84">
        <f>K253*L253</f>
        <v>0</v>
      </c>
      <c r="Z253" s="83">
        <f>IF(AQ253="5",BJ253,0)</f>
        <v>0</v>
      </c>
      <c r="AB253" s="83">
        <f>IF(AQ253="1",BH253,0)</f>
        <v>0</v>
      </c>
      <c r="AC253" s="83">
        <f>IF(AQ253="1",BI253,0)</f>
        <v>0</v>
      </c>
      <c r="AD253" s="83">
        <f>IF(AQ253="7",BH253,0)</f>
        <v>0</v>
      </c>
      <c r="AE253" s="83">
        <f>IF(AQ253="7",BI253,0)</f>
        <v>0</v>
      </c>
      <c r="AF253" s="83">
        <f>IF(AQ253="2",BH253,0)</f>
        <v>0</v>
      </c>
      <c r="AG253" s="83">
        <f>IF(AQ253="2",BI253,0)</f>
        <v>0</v>
      </c>
      <c r="AH253" s="83">
        <f>IF(AQ253="0",BJ253,0)</f>
        <v>0</v>
      </c>
      <c r="AI253" s="72" t="s">
        <v>49</v>
      </c>
      <c r="AJ253" s="83">
        <f>IF(AN253=0,M253,0)</f>
        <v>0</v>
      </c>
      <c r="AK253" s="83">
        <f>IF(AN253=15,M253,0)</f>
        <v>0</v>
      </c>
      <c r="AL253" s="83">
        <f>IF(AN253=21,M253,0)</f>
        <v>0</v>
      </c>
      <c r="AN253" s="83">
        <v>21</v>
      </c>
      <c r="AO253" s="83">
        <f>L253*0.526044955881569</f>
        <v>0</v>
      </c>
      <c r="AP253" s="83">
        <f>L253*(1-0.526044955881569)</f>
        <v>0</v>
      </c>
      <c r="AQ253" s="85" t="s">
        <v>52</v>
      </c>
      <c r="AV253" s="83">
        <f>AW253+AX253</f>
        <v>0</v>
      </c>
      <c r="AW253" s="83">
        <f>K253*AO253</f>
        <v>0</v>
      </c>
      <c r="AX253" s="83">
        <f>K253*AP253</f>
        <v>0</v>
      </c>
      <c r="AY253" s="85" t="s">
        <v>445</v>
      </c>
      <c r="AZ253" s="85" t="s">
        <v>446</v>
      </c>
      <c r="BA253" s="72" t="s">
        <v>58</v>
      </c>
      <c r="BC253" s="83">
        <f>AW253+AX253</f>
        <v>0</v>
      </c>
      <c r="BD253" s="83">
        <f>L253/(100-BE253)*100</f>
        <v>0</v>
      </c>
      <c r="BE253" s="83">
        <v>0</v>
      </c>
      <c r="BF253" s="83">
        <f>253</f>
        <v>253</v>
      </c>
      <c r="BH253" s="83">
        <f>K253*AO253</f>
        <v>0</v>
      </c>
      <c r="BI253" s="83">
        <f>K253*AP253</f>
        <v>0</v>
      </c>
      <c r="BJ253" s="83">
        <f>K253*L253</f>
        <v>0</v>
      </c>
      <c r="BK253" s="83"/>
      <c r="BL253" s="83">
        <v>31</v>
      </c>
    </row>
    <row r="254" spans="1:13" ht="15" customHeight="1">
      <c r="A254" s="86"/>
      <c r="C254" s="87" t="s">
        <v>471</v>
      </c>
      <c r="I254" s="87" t="s">
        <v>49</v>
      </c>
      <c r="K254" s="88">
        <v>2.0010000000000003</v>
      </c>
      <c r="M254" s="89"/>
    </row>
    <row r="255" spans="1:13" ht="27" customHeight="1">
      <c r="A255" s="86"/>
      <c r="B255" s="90" t="s">
        <v>60</v>
      </c>
      <c r="C255" s="161" t="s">
        <v>472</v>
      </c>
      <c r="D255" s="162"/>
      <c r="E255" s="162"/>
      <c r="F255" s="162"/>
      <c r="G255" s="162"/>
      <c r="H255" s="162"/>
      <c r="I255" s="162"/>
      <c r="J255" s="162"/>
      <c r="K255" s="162"/>
      <c r="L255" s="162"/>
      <c r="M255" s="163"/>
    </row>
    <row r="256" spans="1:64" ht="15" customHeight="1">
      <c r="A256" s="65" t="s">
        <v>465</v>
      </c>
      <c r="B256" s="66" t="s">
        <v>474</v>
      </c>
      <c r="C256" s="150" t="s">
        <v>475</v>
      </c>
      <c r="D256" s="150"/>
      <c r="E256" s="150"/>
      <c r="F256" s="150"/>
      <c r="G256" s="150"/>
      <c r="H256" s="150"/>
      <c r="I256" s="150"/>
      <c r="J256" s="66" t="s">
        <v>226</v>
      </c>
      <c r="K256" s="83">
        <v>2.001</v>
      </c>
      <c r="L256" s="108"/>
      <c r="M256" s="84">
        <f>K256*L256</f>
        <v>0</v>
      </c>
      <c r="Z256" s="83">
        <f>IF(AQ256="5",BJ256,0)</f>
        <v>0</v>
      </c>
      <c r="AB256" s="83">
        <f>IF(AQ256="1",BH256,0)</f>
        <v>0</v>
      </c>
      <c r="AC256" s="83">
        <f>IF(AQ256="1",BI256,0)</f>
        <v>0</v>
      </c>
      <c r="AD256" s="83">
        <f>IF(AQ256="7",BH256,0)</f>
        <v>0</v>
      </c>
      <c r="AE256" s="83">
        <f>IF(AQ256="7",BI256,0)</f>
        <v>0</v>
      </c>
      <c r="AF256" s="83">
        <f>IF(AQ256="2",BH256,0)</f>
        <v>0</v>
      </c>
      <c r="AG256" s="83">
        <f>IF(AQ256="2",BI256,0)</f>
        <v>0</v>
      </c>
      <c r="AH256" s="83">
        <f>IF(AQ256="0",BJ256,0)</f>
        <v>0</v>
      </c>
      <c r="AI256" s="72" t="s">
        <v>49</v>
      </c>
      <c r="AJ256" s="83">
        <f>IF(AN256=0,M256,0)</f>
        <v>0</v>
      </c>
      <c r="AK256" s="83">
        <f>IF(AN256=15,M256,0)</f>
        <v>0</v>
      </c>
      <c r="AL256" s="83">
        <f>IF(AN256=21,M256,0)</f>
        <v>0</v>
      </c>
      <c r="AN256" s="83">
        <v>21</v>
      </c>
      <c r="AO256" s="83">
        <f>L256*0</f>
        <v>0</v>
      </c>
      <c r="AP256" s="83">
        <f>L256*(1-0)</f>
        <v>0</v>
      </c>
      <c r="AQ256" s="85" t="s">
        <v>52</v>
      </c>
      <c r="AV256" s="83">
        <f>AW256+AX256</f>
        <v>0</v>
      </c>
      <c r="AW256" s="83">
        <f>K256*AO256</f>
        <v>0</v>
      </c>
      <c r="AX256" s="83">
        <f>K256*AP256</f>
        <v>0</v>
      </c>
      <c r="AY256" s="85" t="s">
        <v>445</v>
      </c>
      <c r="AZ256" s="85" t="s">
        <v>446</v>
      </c>
      <c r="BA256" s="72" t="s">
        <v>58</v>
      </c>
      <c r="BC256" s="83">
        <f>AW256+AX256</f>
        <v>0</v>
      </c>
      <c r="BD256" s="83">
        <f>L256/(100-BE256)*100</f>
        <v>0</v>
      </c>
      <c r="BE256" s="83">
        <v>0</v>
      </c>
      <c r="BF256" s="83">
        <f>256</f>
        <v>256</v>
      </c>
      <c r="BH256" s="83">
        <f>K256*AO256</f>
        <v>0</v>
      </c>
      <c r="BI256" s="83">
        <f>K256*AP256</f>
        <v>0</v>
      </c>
      <c r="BJ256" s="83">
        <f>K256*L256</f>
        <v>0</v>
      </c>
      <c r="BK256" s="83"/>
      <c r="BL256" s="83">
        <v>31</v>
      </c>
    </row>
    <row r="257" spans="1:13" ht="15" customHeight="1">
      <c r="A257" s="86"/>
      <c r="C257" s="87" t="s">
        <v>476</v>
      </c>
      <c r="I257" s="87" t="s">
        <v>49</v>
      </c>
      <c r="K257" s="88">
        <v>2.0010000000000003</v>
      </c>
      <c r="M257" s="89"/>
    </row>
    <row r="258" spans="1:13" ht="13.5" customHeight="1">
      <c r="A258" s="86"/>
      <c r="B258" s="90" t="s">
        <v>60</v>
      </c>
      <c r="C258" s="161" t="s">
        <v>477</v>
      </c>
      <c r="D258" s="162"/>
      <c r="E258" s="162"/>
      <c r="F258" s="162"/>
      <c r="G258" s="162"/>
      <c r="H258" s="162"/>
      <c r="I258" s="162"/>
      <c r="J258" s="162"/>
      <c r="K258" s="162"/>
      <c r="L258" s="162"/>
      <c r="M258" s="163"/>
    </row>
    <row r="259" spans="1:47" ht="15" customHeight="1">
      <c r="A259" s="78" t="s">
        <v>49</v>
      </c>
      <c r="B259" s="79" t="s">
        <v>294</v>
      </c>
      <c r="C259" s="168" t="s">
        <v>478</v>
      </c>
      <c r="D259" s="168"/>
      <c r="E259" s="168"/>
      <c r="F259" s="168"/>
      <c r="G259" s="168"/>
      <c r="H259" s="168"/>
      <c r="I259" s="168"/>
      <c r="J259" s="80" t="s">
        <v>3</v>
      </c>
      <c r="K259" s="80" t="s">
        <v>3</v>
      </c>
      <c r="L259" s="80" t="s">
        <v>3</v>
      </c>
      <c r="M259" s="81">
        <f>SUM(M260:M269)</f>
        <v>0</v>
      </c>
      <c r="AI259" s="72" t="s">
        <v>49</v>
      </c>
      <c r="AS259" s="82">
        <f>SUM(AJ260:AJ269)</f>
        <v>0</v>
      </c>
      <c r="AT259" s="82">
        <f>SUM(AK260:AK269)</f>
        <v>0</v>
      </c>
      <c r="AU259" s="82">
        <f>SUM(AL260:AL269)</f>
        <v>0</v>
      </c>
    </row>
    <row r="260" spans="1:64" ht="15" customHeight="1">
      <c r="A260" s="65" t="s">
        <v>468</v>
      </c>
      <c r="B260" s="66" t="s">
        <v>480</v>
      </c>
      <c r="C260" s="150" t="s">
        <v>481</v>
      </c>
      <c r="D260" s="150"/>
      <c r="E260" s="150"/>
      <c r="F260" s="150"/>
      <c r="G260" s="150"/>
      <c r="H260" s="150"/>
      <c r="I260" s="150"/>
      <c r="J260" s="66" t="s">
        <v>191</v>
      </c>
      <c r="K260" s="83">
        <v>9.4</v>
      </c>
      <c r="L260" s="108"/>
      <c r="M260" s="84">
        <f>K260*L260</f>
        <v>0</v>
      </c>
      <c r="Z260" s="83">
        <f>IF(AQ260="5",BJ260,0)</f>
        <v>0</v>
      </c>
      <c r="AB260" s="83">
        <f>IF(AQ260="1",BH260,0)</f>
        <v>0</v>
      </c>
      <c r="AC260" s="83">
        <f>IF(AQ260="1",BI260,0)</f>
        <v>0</v>
      </c>
      <c r="AD260" s="83">
        <f>IF(AQ260="7",BH260,0)</f>
        <v>0</v>
      </c>
      <c r="AE260" s="83">
        <f>IF(AQ260="7",BI260,0)</f>
        <v>0</v>
      </c>
      <c r="AF260" s="83">
        <f>IF(AQ260="2",BH260,0)</f>
        <v>0</v>
      </c>
      <c r="AG260" s="83">
        <f>IF(AQ260="2",BI260,0)</f>
        <v>0</v>
      </c>
      <c r="AH260" s="83">
        <f>IF(AQ260="0",BJ260,0)</f>
        <v>0</v>
      </c>
      <c r="AI260" s="72" t="s">
        <v>49</v>
      </c>
      <c r="AJ260" s="83">
        <f>IF(AN260=0,M260,0)</f>
        <v>0</v>
      </c>
      <c r="AK260" s="83">
        <f>IF(AN260=15,M260,0)</f>
        <v>0</v>
      </c>
      <c r="AL260" s="83">
        <f>IF(AN260=21,M260,0)</f>
        <v>0</v>
      </c>
      <c r="AN260" s="83">
        <v>21</v>
      </c>
      <c r="AO260" s="83">
        <f>L260*0.156498740554156</f>
        <v>0</v>
      </c>
      <c r="AP260" s="83">
        <f>L260*(1-0.156498740554156)</f>
        <v>0</v>
      </c>
      <c r="AQ260" s="85" t="s">
        <v>52</v>
      </c>
      <c r="AV260" s="83">
        <f>AW260+AX260</f>
        <v>0</v>
      </c>
      <c r="AW260" s="83">
        <f>K260*AO260</f>
        <v>0</v>
      </c>
      <c r="AX260" s="83">
        <f>K260*AP260</f>
        <v>0</v>
      </c>
      <c r="AY260" s="85" t="s">
        <v>482</v>
      </c>
      <c r="AZ260" s="85" t="s">
        <v>483</v>
      </c>
      <c r="BA260" s="72" t="s">
        <v>58</v>
      </c>
      <c r="BC260" s="83">
        <f>AW260+AX260</f>
        <v>0</v>
      </c>
      <c r="BD260" s="83">
        <f>L260/(100-BE260)*100</f>
        <v>0</v>
      </c>
      <c r="BE260" s="83">
        <v>0</v>
      </c>
      <c r="BF260" s="83">
        <f>260</f>
        <v>260</v>
      </c>
      <c r="BH260" s="83">
        <f>K260*AO260</f>
        <v>0</v>
      </c>
      <c r="BI260" s="83">
        <f>K260*AP260</f>
        <v>0</v>
      </c>
      <c r="BJ260" s="83">
        <f>K260*L260</f>
        <v>0</v>
      </c>
      <c r="BK260" s="83"/>
      <c r="BL260" s="83">
        <v>43</v>
      </c>
    </row>
    <row r="261" spans="1:13" ht="15" customHeight="1">
      <c r="A261" s="86"/>
      <c r="C261" s="87" t="s">
        <v>484</v>
      </c>
      <c r="I261" s="87" t="s">
        <v>49</v>
      </c>
      <c r="K261" s="88">
        <v>9.4</v>
      </c>
      <c r="M261" s="89"/>
    </row>
    <row r="262" spans="1:13" ht="13.5" customHeight="1">
      <c r="A262" s="86"/>
      <c r="B262" s="90" t="s">
        <v>60</v>
      </c>
      <c r="C262" s="161" t="s">
        <v>485</v>
      </c>
      <c r="D262" s="162"/>
      <c r="E262" s="162"/>
      <c r="F262" s="162"/>
      <c r="G262" s="162"/>
      <c r="H262" s="162"/>
      <c r="I262" s="162"/>
      <c r="J262" s="162"/>
      <c r="K262" s="162"/>
      <c r="L262" s="162"/>
      <c r="M262" s="163"/>
    </row>
    <row r="263" spans="1:64" ht="15" customHeight="1">
      <c r="A263" s="65" t="s">
        <v>473</v>
      </c>
      <c r="B263" s="66" t="s">
        <v>487</v>
      </c>
      <c r="C263" s="150" t="s">
        <v>488</v>
      </c>
      <c r="D263" s="150"/>
      <c r="E263" s="150"/>
      <c r="F263" s="150"/>
      <c r="G263" s="150"/>
      <c r="H263" s="150"/>
      <c r="I263" s="150"/>
      <c r="J263" s="66" t="s">
        <v>191</v>
      </c>
      <c r="K263" s="83">
        <v>4</v>
      </c>
      <c r="L263" s="108"/>
      <c r="M263" s="84">
        <f>K263*L263</f>
        <v>0</v>
      </c>
      <c r="Z263" s="83">
        <f>IF(AQ263="5",BJ263,0)</f>
        <v>0</v>
      </c>
      <c r="AB263" s="83">
        <f>IF(AQ263="1",BH263,0)</f>
        <v>0</v>
      </c>
      <c r="AC263" s="83">
        <f>IF(AQ263="1",BI263,0)</f>
        <v>0</v>
      </c>
      <c r="AD263" s="83">
        <f>IF(AQ263="7",BH263,0)</f>
        <v>0</v>
      </c>
      <c r="AE263" s="83">
        <f>IF(AQ263="7",BI263,0)</f>
        <v>0</v>
      </c>
      <c r="AF263" s="83">
        <f>IF(AQ263="2",BH263,0)</f>
        <v>0</v>
      </c>
      <c r="AG263" s="83">
        <f>IF(AQ263="2",BI263,0)</f>
        <v>0</v>
      </c>
      <c r="AH263" s="83">
        <f>IF(AQ263="0",BJ263,0)</f>
        <v>0</v>
      </c>
      <c r="AI263" s="72" t="s">
        <v>49</v>
      </c>
      <c r="AJ263" s="83">
        <f>IF(AN263=0,M263,0)</f>
        <v>0</v>
      </c>
      <c r="AK263" s="83">
        <f>IF(AN263=15,M263,0)</f>
        <v>0</v>
      </c>
      <c r="AL263" s="83">
        <f>IF(AN263=21,M263,0)</f>
        <v>0</v>
      </c>
      <c r="AN263" s="83">
        <v>21</v>
      </c>
      <c r="AO263" s="83">
        <f>L263*1</f>
        <v>0</v>
      </c>
      <c r="AP263" s="83">
        <f>L263*(1-1)</f>
        <v>0</v>
      </c>
      <c r="AQ263" s="85" t="s">
        <v>52</v>
      </c>
      <c r="AV263" s="83">
        <f>AW263+AX263</f>
        <v>0</v>
      </c>
      <c r="AW263" s="83">
        <f>K263*AO263</f>
        <v>0</v>
      </c>
      <c r="AX263" s="83">
        <f>K263*AP263</f>
        <v>0</v>
      </c>
      <c r="AY263" s="85" t="s">
        <v>482</v>
      </c>
      <c r="AZ263" s="85" t="s">
        <v>483</v>
      </c>
      <c r="BA263" s="72" t="s">
        <v>58</v>
      </c>
      <c r="BC263" s="83">
        <f>AW263+AX263</f>
        <v>0</v>
      </c>
      <c r="BD263" s="83">
        <f>L263/(100-BE263)*100</f>
        <v>0</v>
      </c>
      <c r="BE263" s="83">
        <v>0</v>
      </c>
      <c r="BF263" s="83">
        <f>263</f>
        <v>263</v>
      </c>
      <c r="BH263" s="83">
        <f>K263*AO263</f>
        <v>0</v>
      </c>
      <c r="BI263" s="83">
        <f>K263*AP263</f>
        <v>0</v>
      </c>
      <c r="BJ263" s="83">
        <f>K263*L263</f>
        <v>0</v>
      </c>
      <c r="BK263" s="83"/>
      <c r="BL263" s="83">
        <v>43</v>
      </c>
    </row>
    <row r="264" spans="1:13" ht="15" customHeight="1">
      <c r="A264" s="86"/>
      <c r="C264" s="87" t="s">
        <v>68</v>
      </c>
      <c r="I264" s="87" t="s">
        <v>49</v>
      </c>
      <c r="K264" s="88">
        <v>4</v>
      </c>
      <c r="M264" s="89"/>
    </row>
    <row r="265" spans="1:64" ht="15" customHeight="1">
      <c r="A265" s="65" t="s">
        <v>479</v>
      </c>
      <c r="B265" s="66" t="s">
        <v>490</v>
      </c>
      <c r="C265" s="150" t="s">
        <v>491</v>
      </c>
      <c r="D265" s="150"/>
      <c r="E265" s="150"/>
      <c r="F265" s="150"/>
      <c r="G265" s="150"/>
      <c r="H265" s="150"/>
      <c r="I265" s="150"/>
      <c r="J265" s="66" t="s">
        <v>191</v>
      </c>
      <c r="K265" s="83">
        <v>1.4</v>
      </c>
      <c r="L265" s="108"/>
      <c r="M265" s="84">
        <f>K265*L265</f>
        <v>0</v>
      </c>
      <c r="Z265" s="83">
        <f>IF(AQ265="5",BJ265,0)</f>
        <v>0</v>
      </c>
      <c r="AB265" s="83">
        <f>IF(AQ265="1",BH265,0)</f>
        <v>0</v>
      </c>
      <c r="AC265" s="83">
        <f>IF(AQ265="1",BI265,0)</f>
        <v>0</v>
      </c>
      <c r="AD265" s="83">
        <f>IF(AQ265="7",BH265,0)</f>
        <v>0</v>
      </c>
      <c r="AE265" s="83">
        <f>IF(AQ265="7",BI265,0)</f>
        <v>0</v>
      </c>
      <c r="AF265" s="83">
        <f>IF(AQ265="2",BH265,0)</f>
        <v>0</v>
      </c>
      <c r="AG265" s="83">
        <f>IF(AQ265="2",BI265,0)</f>
        <v>0</v>
      </c>
      <c r="AH265" s="83">
        <f>IF(AQ265="0",BJ265,0)</f>
        <v>0</v>
      </c>
      <c r="AI265" s="72" t="s">
        <v>49</v>
      </c>
      <c r="AJ265" s="83">
        <f>IF(AN265=0,M265,0)</f>
        <v>0</v>
      </c>
      <c r="AK265" s="83">
        <f>IF(AN265=15,M265,0)</f>
        <v>0</v>
      </c>
      <c r="AL265" s="83">
        <f>IF(AN265=21,M265,0)</f>
        <v>0</v>
      </c>
      <c r="AN265" s="83">
        <v>21</v>
      </c>
      <c r="AO265" s="83">
        <f>L265*1</f>
        <v>0</v>
      </c>
      <c r="AP265" s="83">
        <f>L265*(1-1)</f>
        <v>0</v>
      </c>
      <c r="AQ265" s="85" t="s">
        <v>52</v>
      </c>
      <c r="AV265" s="83">
        <f>AW265+AX265</f>
        <v>0</v>
      </c>
      <c r="AW265" s="83">
        <f>K265*AO265</f>
        <v>0</v>
      </c>
      <c r="AX265" s="83">
        <f>K265*AP265</f>
        <v>0</v>
      </c>
      <c r="AY265" s="85" t="s">
        <v>482</v>
      </c>
      <c r="AZ265" s="85" t="s">
        <v>483</v>
      </c>
      <c r="BA265" s="72" t="s">
        <v>58</v>
      </c>
      <c r="BC265" s="83">
        <f>AW265+AX265</f>
        <v>0</v>
      </c>
      <c r="BD265" s="83">
        <f>L265/(100-BE265)*100</f>
        <v>0</v>
      </c>
      <c r="BE265" s="83">
        <v>0</v>
      </c>
      <c r="BF265" s="83">
        <f>265</f>
        <v>265</v>
      </c>
      <c r="BH265" s="83">
        <f>K265*AO265</f>
        <v>0</v>
      </c>
      <c r="BI265" s="83">
        <f>K265*AP265</f>
        <v>0</v>
      </c>
      <c r="BJ265" s="83">
        <f>K265*L265</f>
        <v>0</v>
      </c>
      <c r="BK265" s="83"/>
      <c r="BL265" s="83">
        <v>43</v>
      </c>
    </row>
    <row r="266" spans="1:13" ht="15" customHeight="1">
      <c r="A266" s="86"/>
      <c r="C266" s="87" t="s">
        <v>492</v>
      </c>
      <c r="I266" s="87" t="s">
        <v>49</v>
      </c>
      <c r="K266" s="88">
        <v>1.4000000000000001</v>
      </c>
      <c r="M266" s="89"/>
    </row>
    <row r="267" spans="1:64" ht="15" customHeight="1">
      <c r="A267" s="65" t="s">
        <v>486</v>
      </c>
      <c r="B267" s="66" t="s">
        <v>494</v>
      </c>
      <c r="C267" s="150" t="s">
        <v>495</v>
      </c>
      <c r="D267" s="150"/>
      <c r="E267" s="150"/>
      <c r="F267" s="150"/>
      <c r="G267" s="150"/>
      <c r="H267" s="150"/>
      <c r="I267" s="150"/>
      <c r="J267" s="66" t="s">
        <v>191</v>
      </c>
      <c r="K267" s="83">
        <v>4.7</v>
      </c>
      <c r="L267" s="108"/>
      <c r="M267" s="84">
        <f>K267*L267</f>
        <v>0</v>
      </c>
      <c r="Z267" s="83">
        <f>IF(AQ267="5",BJ267,0)</f>
        <v>0</v>
      </c>
      <c r="AB267" s="83">
        <f>IF(AQ267="1",BH267,0)</f>
        <v>0</v>
      </c>
      <c r="AC267" s="83">
        <f>IF(AQ267="1",BI267,0)</f>
        <v>0</v>
      </c>
      <c r="AD267" s="83">
        <f>IF(AQ267="7",BH267,0)</f>
        <v>0</v>
      </c>
      <c r="AE267" s="83">
        <f>IF(AQ267="7",BI267,0)</f>
        <v>0</v>
      </c>
      <c r="AF267" s="83">
        <f>IF(AQ267="2",BH267,0)</f>
        <v>0</v>
      </c>
      <c r="AG267" s="83">
        <f>IF(AQ267="2",BI267,0)</f>
        <v>0</v>
      </c>
      <c r="AH267" s="83">
        <f>IF(AQ267="0",BJ267,0)</f>
        <v>0</v>
      </c>
      <c r="AI267" s="72" t="s">
        <v>49</v>
      </c>
      <c r="AJ267" s="83">
        <f>IF(AN267=0,M267,0)</f>
        <v>0</v>
      </c>
      <c r="AK267" s="83">
        <f>IF(AN267=15,M267,0)</f>
        <v>0</v>
      </c>
      <c r="AL267" s="83">
        <f>IF(AN267=21,M267,0)</f>
        <v>0</v>
      </c>
      <c r="AN267" s="83">
        <v>21</v>
      </c>
      <c r="AO267" s="83">
        <f>L267*1</f>
        <v>0</v>
      </c>
      <c r="AP267" s="83">
        <f>L267*(1-1)</f>
        <v>0</v>
      </c>
      <c r="AQ267" s="85" t="s">
        <v>52</v>
      </c>
      <c r="AV267" s="83">
        <f>AW267+AX267</f>
        <v>0</v>
      </c>
      <c r="AW267" s="83">
        <f>K267*AO267</f>
        <v>0</v>
      </c>
      <c r="AX267" s="83">
        <f>K267*AP267</f>
        <v>0</v>
      </c>
      <c r="AY267" s="85" t="s">
        <v>482</v>
      </c>
      <c r="AZ267" s="85" t="s">
        <v>483</v>
      </c>
      <c r="BA267" s="72" t="s">
        <v>58</v>
      </c>
      <c r="BC267" s="83">
        <f>AW267+AX267</f>
        <v>0</v>
      </c>
      <c r="BD267" s="83">
        <f>L267/(100-BE267)*100</f>
        <v>0</v>
      </c>
      <c r="BE267" s="83">
        <v>0</v>
      </c>
      <c r="BF267" s="83">
        <f>267</f>
        <v>267</v>
      </c>
      <c r="BH267" s="83">
        <f>K267*AO267</f>
        <v>0</v>
      </c>
      <c r="BI267" s="83">
        <f>K267*AP267</f>
        <v>0</v>
      </c>
      <c r="BJ267" s="83">
        <f>K267*L267</f>
        <v>0</v>
      </c>
      <c r="BK267" s="83"/>
      <c r="BL267" s="83">
        <v>43</v>
      </c>
    </row>
    <row r="268" spans="1:13" ht="15" customHeight="1">
      <c r="A268" s="86"/>
      <c r="C268" s="87" t="s">
        <v>496</v>
      </c>
      <c r="I268" s="87" t="s">
        <v>49</v>
      </c>
      <c r="K268" s="88">
        <v>4.7</v>
      </c>
      <c r="M268" s="89"/>
    </row>
    <row r="269" spans="1:64" ht="15" customHeight="1">
      <c r="A269" s="65" t="s">
        <v>489</v>
      </c>
      <c r="B269" s="66" t="s">
        <v>497</v>
      </c>
      <c r="C269" s="150" t="s">
        <v>498</v>
      </c>
      <c r="D269" s="150"/>
      <c r="E269" s="150"/>
      <c r="F269" s="150"/>
      <c r="G269" s="150"/>
      <c r="H269" s="150"/>
      <c r="I269" s="150"/>
      <c r="J269" s="66" t="s">
        <v>191</v>
      </c>
      <c r="K269" s="83">
        <v>3.3</v>
      </c>
      <c r="L269" s="108"/>
      <c r="M269" s="84">
        <f>K269*L269</f>
        <v>0</v>
      </c>
      <c r="Z269" s="83">
        <f>IF(AQ269="5",BJ269,0)</f>
        <v>0</v>
      </c>
      <c r="AB269" s="83">
        <f>IF(AQ269="1",BH269,0)</f>
        <v>0</v>
      </c>
      <c r="AC269" s="83">
        <f>IF(AQ269="1",BI269,0)</f>
        <v>0</v>
      </c>
      <c r="AD269" s="83">
        <f>IF(AQ269="7",BH269,0)</f>
        <v>0</v>
      </c>
      <c r="AE269" s="83">
        <f>IF(AQ269="7",BI269,0)</f>
        <v>0</v>
      </c>
      <c r="AF269" s="83">
        <f>IF(AQ269="2",BH269,0)</f>
        <v>0</v>
      </c>
      <c r="AG269" s="83">
        <f>IF(AQ269="2",BI269,0)</f>
        <v>0</v>
      </c>
      <c r="AH269" s="83">
        <f>IF(AQ269="0",BJ269,0)</f>
        <v>0</v>
      </c>
      <c r="AI269" s="72" t="s">
        <v>49</v>
      </c>
      <c r="AJ269" s="83">
        <f>IF(AN269=0,M269,0)</f>
        <v>0</v>
      </c>
      <c r="AK269" s="83">
        <f>IF(AN269=15,M269,0)</f>
        <v>0</v>
      </c>
      <c r="AL269" s="83">
        <f>IF(AN269=21,M269,0)</f>
        <v>0</v>
      </c>
      <c r="AN269" s="83">
        <v>21</v>
      </c>
      <c r="AO269" s="83">
        <f>L269*1</f>
        <v>0</v>
      </c>
      <c r="AP269" s="83">
        <f>L269*(1-1)</f>
        <v>0</v>
      </c>
      <c r="AQ269" s="85" t="s">
        <v>52</v>
      </c>
      <c r="AV269" s="83">
        <f>AW269+AX269</f>
        <v>0</v>
      </c>
      <c r="AW269" s="83">
        <f>K269*AO269</f>
        <v>0</v>
      </c>
      <c r="AX269" s="83">
        <f>K269*AP269</f>
        <v>0</v>
      </c>
      <c r="AY269" s="85" t="s">
        <v>482</v>
      </c>
      <c r="AZ269" s="85" t="s">
        <v>483</v>
      </c>
      <c r="BA269" s="72" t="s">
        <v>58</v>
      </c>
      <c r="BC269" s="83">
        <f>AW269+AX269</f>
        <v>0</v>
      </c>
      <c r="BD269" s="83">
        <f>L269/(100-BE269)*100</f>
        <v>0</v>
      </c>
      <c r="BE269" s="83">
        <v>0</v>
      </c>
      <c r="BF269" s="83">
        <f>269</f>
        <v>269</v>
      </c>
      <c r="BH269" s="83">
        <f>K269*AO269</f>
        <v>0</v>
      </c>
      <c r="BI269" s="83">
        <f>K269*AP269</f>
        <v>0</v>
      </c>
      <c r="BJ269" s="83">
        <f>K269*L269</f>
        <v>0</v>
      </c>
      <c r="BK269" s="83"/>
      <c r="BL269" s="83">
        <v>43</v>
      </c>
    </row>
    <row r="270" spans="1:13" ht="15" customHeight="1">
      <c r="A270" s="86"/>
      <c r="C270" s="87" t="s">
        <v>499</v>
      </c>
      <c r="I270" s="87" t="s">
        <v>49</v>
      </c>
      <c r="K270" s="88">
        <v>3.3000000000000003</v>
      </c>
      <c r="M270" s="89"/>
    </row>
    <row r="271" spans="1:47" ht="15" customHeight="1">
      <c r="A271" s="78" t="s">
        <v>49</v>
      </c>
      <c r="B271" s="79" t="s">
        <v>302</v>
      </c>
      <c r="C271" s="168" t="s">
        <v>500</v>
      </c>
      <c r="D271" s="168"/>
      <c r="E271" s="168"/>
      <c r="F271" s="168"/>
      <c r="G271" s="168"/>
      <c r="H271" s="168"/>
      <c r="I271" s="168"/>
      <c r="J271" s="80" t="s">
        <v>3</v>
      </c>
      <c r="K271" s="80" t="s">
        <v>3</v>
      </c>
      <c r="L271" s="80" t="s">
        <v>3</v>
      </c>
      <c r="M271" s="81">
        <f>SUM(M272:M272)</f>
        <v>0</v>
      </c>
      <c r="AI271" s="72" t="s">
        <v>49</v>
      </c>
      <c r="AS271" s="82">
        <f>SUM(AJ272:AJ272)</f>
        <v>0</v>
      </c>
      <c r="AT271" s="82">
        <f>SUM(AK272:AK272)</f>
        <v>0</v>
      </c>
      <c r="AU271" s="82">
        <f>SUM(AL272:AL272)</f>
        <v>0</v>
      </c>
    </row>
    <row r="272" spans="1:64" ht="15" customHeight="1">
      <c r="A272" s="65" t="s">
        <v>493</v>
      </c>
      <c r="B272" s="66" t="s">
        <v>501</v>
      </c>
      <c r="C272" s="150" t="s">
        <v>502</v>
      </c>
      <c r="D272" s="150"/>
      <c r="E272" s="150"/>
      <c r="F272" s="150"/>
      <c r="G272" s="150"/>
      <c r="H272" s="150"/>
      <c r="I272" s="150"/>
      <c r="J272" s="66" t="s">
        <v>226</v>
      </c>
      <c r="K272" s="83">
        <v>3</v>
      </c>
      <c r="L272" s="108"/>
      <c r="M272" s="84">
        <f>K272*L272</f>
        <v>0</v>
      </c>
      <c r="Z272" s="83">
        <f>IF(AQ272="5",BJ272,0)</f>
        <v>0</v>
      </c>
      <c r="AB272" s="83">
        <f>IF(AQ272="1",BH272,0)</f>
        <v>0</v>
      </c>
      <c r="AC272" s="83">
        <f>IF(AQ272="1",BI272,0)</f>
        <v>0</v>
      </c>
      <c r="AD272" s="83">
        <f>IF(AQ272="7",BH272,0)</f>
        <v>0</v>
      </c>
      <c r="AE272" s="83">
        <f>IF(AQ272="7",BI272,0)</f>
        <v>0</v>
      </c>
      <c r="AF272" s="83">
        <f>IF(AQ272="2",BH272,0)</f>
        <v>0</v>
      </c>
      <c r="AG272" s="83">
        <f>IF(AQ272="2",BI272,0)</f>
        <v>0</v>
      </c>
      <c r="AH272" s="83">
        <f>IF(AQ272="0",BJ272,0)</f>
        <v>0</v>
      </c>
      <c r="AI272" s="72" t="s">
        <v>49</v>
      </c>
      <c r="AJ272" s="83">
        <f>IF(AN272=0,M272,0)</f>
        <v>0</v>
      </c>
      <c r="AK272" s="83">
        <f>IF(AN272=15,M272,0)</f>
        <v>0</v>
      </c>
      <c r="AL272" s="83">
        <f>IF(AN272=21,M272,0)</f>
        <v>0</v>
      </c>
      <c r="AN272" s="83">
        <v>21</v>
      </c>
      <c r="AO272" s="83">
        <f>L272*0.50033241955902</f>
        <v>0</v>
      </c>
      <c r="AP272" s="83">
        <f>L272*(1-0.50033241955902)</f>
        <v>0</v>
      </c>
      <c r="AQ272" s="85" t="s">
        <v>52</v>
      </c>
      <c r="AV272" s="83">
        <f>AW272+AX272</f>
        <v>0</v>
      </c>
      <c r="AW272" s="83">
        <f>K272*AO272</f>
        <v>0</v>
      </c>
      <c r="AX272" s="83">
        <f>K272*AP272</f>
        <v>0</v>
      </c>
      <c r="AY272" s="85" t="s">
        <v>503</v>
      </c>
      <c r="AZ272" s="85" t="s">
        <v>483</v>
      </c>
      <c r="BA272" s="72" t="s">
        <v>58</v>
      </c>
      <c r="BC272" s="83">
        <f>AW272+AX272</f>
        <v>0</v>
      </c>
      <c r="BD272" s="83">
        <f>L272/(100-BE272)*100</f>
        <v>0</v>
      </c>
      <c r="BE272" s="83">
        <v>0</v>
      </c>
      <c r="BF272" s="83">
        <f>272</f>
        <v>272</v>
      </c>
      <c r="BH272" s="83">
        <f>K272*AO272</f>
        <v>0</v>
      </c>
      <c r="BI272" s="83">
        <f>K272*AP272</f>
        <v>0</v>
      </c>
      <c r="BJ272" s="83">
        <f>K272*L272</f>
        <v>0</v>
      </c>
      <c r="BK272" s="83"/>
      <c r="BL272" s="83">
        <v>45</v>
      </c>
    </row>
    <row r="273" spans="1:13" ht="15" customHeight="1">
      <c r="A273" s="86"/>
      <c r="C273" s="87" t="s">
        <v>65</v>
      </c>
      <c r="I273" s="87" t="s">
        <v>312</v>
      </c>
      <c r="K273" s="88">
        <v>3.0000000000000004</v>
      </c>
      <c r="M273" s="89"/>
    </row>
    <row r="274" spans="1:13" ht="13.5" customHeight="1">
      <c r="A274" s="86"/>
      <c r="B274" s="90" t="s">
        <v>60</v>
      </c>
      <c r="C274" s="161" t="s">
        <v>504</v>
      </c>
      <c r="D274" s="162"/>
      <c r="E274" s="162"/>
      <c r="F274" s="162"/>
      <c r="G274" s="162"/>
      <c r="H274" s="162"/>
      <c r="I274" s="162"/>
      <c r="J274" s="162"/>
      <c r="K274" s="162"/>
      <c r="L274" s="162"/>
      <c r="M274" s="163"/>
    </row>
    <row r="275" spans="1:47" ht="15" customHeight="1">
      <c r="A275" s="78" t="s">
        <v>49</v>
      </c>
      <c r="B275" s="79" t="s">
        <v>357</v>
      </c>
      <c r="C275" s="168" t="s">
        <v>505</v>
      </c>
      <c r="D275" s="168"/>
      <c r="E275" s="168"/>
      <c r="F275" s="168"/>
      <c r="G275" s="168"/>
      <c r="H275" s="168"/>
      <c r="I275" s="168"/>
      <c r="J275" s="80" t="s">
        <v>3</v>
      </c>
      <c r="K275" s="80" t="s">
        <v>3</v>
      </c>
      <c r="L275" s="80" t="s">
        <v>3</v>
      </c>
      <c r="M275" s="81">
        <f>SUM(M276:M316)</f>
        <v>0</v>
      </c>
      <c r="AI275" s="72" t="s">
        <v>49</v>
      </c>
      <c r="AS275" s="82">
        <f>SUM(AJ276:AJ316)</f>
        <v>0</v>
      </c>
      <c r="AT275" s="82">
        <f>SUM(AK276:AK316)</f>
        <v>0</v>
      </c>
      <c r="AU275" s="82">
        <f>SUM(AL276:AL316)</f>
        <v>0</v>
      </c>
    </row>
    <row r="276" spans="1:64" ht="15" customHeight="1">
      <c r="A276" s="65" t="s">
        <v>106</v>
      </c>
      <c r="B276" s="66" t="s">
        <v>507</v>
      </c>
      <c r="C276" s="150" t="s">
        <v>508</v>
      </c>
      <c r="D276" s="150"/>
      <c r="E276" s="150"/>
      <c r="F276" s="150"/>
      <c r="G276" s="150"/>
      <c r="H276" s="150"/>
      <c r="I276" s="150"/>
      <c r="J276" s="66" t="s">
        <v>79</v>
      </c>
      <c r="K276" s="83">
        <v>6</v>
      </c>
      <c r="L276" s="108"/>
      <c r="M276" s="84">
        <f>K276*L276</f>
        <v>0</v>
      </c>
      <c r="Z276" s="83">
        <f>IF(AQ276="5",BJ276,0)</f>
        <v>0</v>
      </c>
      <c r="AB276" s="83">
        <f>IF(AQ276="1",BH276,0)</f>
        <v>0</v>
      </c>
      <c r="AC276" s="83">
        <f>IF(AQ276="1",BI276,0)</f>
        <v>0</v>
      </c>
      <c r="AD276" s="83">
        <f>IF(AQ276="7",BH276,0)</f>
        <v>0</v>
      </c>
      <c r="AE276" s="83">
        <f>IF(AQ276="7",BI276,0)</f>
        <v>0</v>
      </c>
      <c r="AF276" s="83">
        <f>IF(AQ276="2",BH276,0)</f>
        <v>0</v>
      </c>
      <c r="AG276" s="83">
        <f>IF(AQ276="2",BI276,0)</f>
        <v>0</v>
      </c>
      <c r="AH276" s="83">
        <f>IF(AQ276="0",BJ276,0)</f>
        <v>0</v>
      </c>
      <c r="AI276" s="72" t="s">
        <v>49</v>
      </c>
      <c r="AJ276" s="83">
        <f>IF(AN276=0,M276,0)</f>
        <v>0</v>
      </c>
      <c r="AK276" s="83">
        <f>IF(AN276=15,M276,0)</f>
        <v>0</v>
      </c>
      <c r="AL276" s="83">
        <f>IF(AN276=21,M276,0)</f>
        <v>0</v>
      </c>
      <c r="AN276" s="83">
        <v>21</v>
      </c>
      <c r="AO276" s="83">
        <f>L276*0.642208333333333</f>
        <v>0</v>
      </c>
      <c r="AP276" s="83">
        <f>L276*(1-0.642208333333333)</f>
        <v>0</v>
      </c>
      <c r="AQ276" s="85" t="s">
        <v>52</v>
      </c>
      <c r="AV276" s="83">
        <f>AW276+AX276</f>
        <v>0</v>
      </c>
      <c r="AW276" s="83">
        <f>K276*AO276</f>
        <v>0</v>
      </c>
      <c r="AX276" s="83">
        <f>K276*AP276</f>
        <v>0</v>
      </c>
      <c r="AY276" s="85" t="s">
        <v>509</v>
      </c>
      <c r="AZ276" s="85" t="s">
        <v>510</v>
      </c>
      <c r="BA276" s="72" t="s">
        <v>58</v>
      </c>
      <c r="BC276" s="83">
        <f>AW276+AX276</f>
        <v>0</v>
      </c>
      <c r="BD276" s="83">
        <f>L276/(100-BE276)*100</f>
        <v>0</v>
      </c>
      <c r="BE276" s="83">
        <v>0</v>
      </c>
      <c r="BF276" s="83">
        <f>276</f>
        <v>276</v>
      </c>
      <c r="BH276" s="83">
        <f>K276*AO276</f>
        <v>0</v>
      </c>
      <c r="BI276" s="83">
        <f>K276*AP276</f>
        <v>0</v>
      </c>
      <c r="BJ276" s="83">
        <f>K276*L276</f>
        <v>0</v>
      </c>
      <c r="BK276" s="83"/>
      <c r="BL276" s="83">
        <v>56</v>
      </c>
    </row>
    <row r="277" spans="1:13" ht="15" customHeight="1">
      <c r="A277" s="86"/>
      <c r="C277" s="87" t="s">
        <v>59</v>
      </c>
      <c r="I277" s="87" t="s">
        <v>511</v>
      </c>
      <c r="K277" s="88">
        <v>6.000000000000001</v>
      </c>
      <c r="M277" s="89"/>
    </row>
    <row r="278" spans="1:13" ht="40.5" customHeight="1">
      <c r="A278" s="86"/>
      <c r="B278" s="90" t="s">
        <v>60</v>
      </c>
      <c r="C278" s="161" t="s">
        <v>512</v>
      </c>
      <c r="D278" s="162"/>
      <c r="E278" s="162"/>
      <c r="F278" s="162"/>
      <c r="G278" s="162"/>
      <c r="H278" s="162"/>
      <c r="I278" s="162"/>
      <c r="J278" s="162"/>
      <c r="K278" s="162"/>
      <c r="L278" s="162"/>
      <c r="M278" s="163"/>
    </row>
    <row r="279" spans="1:64" ht="15" customHeight="1">
      <c r="A279" s="65" t="s">
        <v>186</v>
      </c>
      <c r="B279" s="66" t="s">
        <v>514</v>
      </c>
      <c r="C279" s="150" t="s">
        <v>515</v>
      </c>
      <c r="D279" s="150"/>
      <c r="E279" s="150"/>
      <c r="F279" s="150"/>
      <c r="G279" s="150"/>
      <c r="H279" s="150"/>
      <c r="I279" s="150"/>
      <c r="J279" s="66" t="s">
        <v>79</v>
      </c>
      <c r="K279" s="83">
        <v>17</v>
      </c>
      <c r="L279" s="108"/>
      <c r="M279" s="84">
        <f>K279*L279</f>
        <v>0</v>
      </c>
      <c r="Z279" s="83">
        <f>IF(AQ279="5",BJ279,0)</f>
        <v>0</v>
      </c>
      <c r="AB279" s="83">
        <f>IF(AQ279="1",BH279,0)</f>
        <v>0</v>
      </c>
      <c r="AC279" s="83">
        <f>IF(AQ279="1",BI279,0)</f>
        <v>0</v>
      </c>
      <c r="AD279" s="83">
        <f>IF(AQ279="7",BH279,0)</f>
        <v>0</v>
      </c>
      <c r="AE279" s="83">
        <f>IF(AQ279="7",BI279,0)</f>
        <v>0</v>
      </c>
      <c r="AF279" s="83">
        <f>IF(AQ279="2",BH279,0)</f>
        <v>0</v>
      </c>
      <c r="AG279" s="83">
        <f>IF(AQ279="2",BI279,0)</f>
        <v>0</v>
      </c>
      <c r="AH279" s="83">
        <f>IF(AQ279="0",BJ279,0)</f>
        <v>0</v>
      </c>
      <c r="AI279" s="72" t="s">
        <v>49</v>
      </c>
      <c r="AJ279" s="83">
        <f>IF(AN279=0,M279,0)</f>
        <v>0</v>
      </c>
      <c r="AK279" s="83">
        <f>IF(AN279=15,M279,0)</f>
        <v>0</v>
      </c>
      <c r="AL279" s="83">
        <f>IF(AN279=21,M279,0)</f>
        <v>0</v>
      </c>
      <c r="AN279" s="83">
        <v>21</v>
      </c>
      <c r="AO279" s="83">
        <f>L279*0.813073394495413</f>
        <v>0</v>
      </c>
      <c r="AP279" s="83">
        <f>L279*(1-0.813073394495413)</f>
        <v>0</v>
      </c>
      <c r="AQ279" s="85" t="s">
        <v>52</v>
      </c>
      <c r="AV279" s="83">
        <f>AW279+AX279</f>
        <v>0</v>
      </c>
      <c r="AW279" s="83">
        <f>K279*AO279</f>
        <v>0</v>
      </c>
      <c r="AX279" s="83">
        <f>K279*AP279</f>
        <v>0</v>
      </c>
      <c r="AY279" s="85" t="s">
        <v>509</v>
      </c>
      <c r="AZ279" s="85" t="s">
        <v>510</v>
      </c>
      <c r="BA279" s="72" t="s">
        <v>58</v>
      </c>
      <c r="BC279" s="83">
        <f>AW279+AX279</f>
        <v>0</v>
      </c>
      <c r="BD279" s="83">
        <f>L279/(100-BE279)*100</f>
        <v>0</v>
      </c>
      <c r="BE279" s="83">
        <v>0</v>
      </c>
      <c r="BF279" s="83">
        <f>279</f>
        <v>279</v>
      </c>
      <c r="BH279" s="83">
        <f>K279*AO279</f>
        <v>0</v>
      </c>
      <c r="BI279" s="83">
        <f>K279*AP279</f>
        <v>0</v>
      </c>
      <c r="BJ279" s="83">
        <f>K279*L279</f>
        <v>0</v>
      </c>
      <c r="BK279" s="83"/>
      <c r="BL279" s="83">
        <v>56</v>
      </c>
    </row>
    <row r="280" spans="1:13" ht="15" customHeight="1">
      <c r="A280" s="86"/>
      <c r="C280" s="87" t="s">
        <v>156</v>
      </c>
      <c r="I280" s="87" t="s">
        <v>516</v>
      </c>
      <c r="K280" s="88">
        <v>17</v>
      </c>
      <c r="M280" s="89"/>
    </row>
    <row r="281" spans="1:64" ht="15" customHeight="1">
      <c r="A281" s="65" t="s">
        <v>506</v>
      </c>
      <c r="B281" s="66" t="s">
        <v>517</v>
      </c>
      <c r="C281" s="150" t="s">
        <v>518</v>
      </c>
      <c r="D281" s="150"/>
      <c r="E281" s="150"/>
      <c r="F281" s="150"/>
      <c r="G281" s="150"/>
      <c r="H281" s="150"/>
      <c r="I281" s="150"/>
      <c r="J281" s="66" t="s">
        <v>79</v>
      </c>
      <c r="K281" s="83">
        <v>802.394</v>
      </c>
      <c r="L281" s="108"/>
      <c r="M281" s="84">
        <f>K281*L281</f>
        <v>0</v>
      </c>
      <c r="Z281" s="83">
        <f>IF(AQ281="5",BJ281,0)</f>
        <v>0</v>
      </c>
      <c r="AB281" s="83">
        <f>IF(AQ281="1",BH281,0)</f>
        <v>0</v>
      </c>
      <c r="AC281" s="83">
        <f>IF(AQ281="1",BI281,0)</f>
        <v>0</v>
      </c>
      <c r="AD281" s="83">
        <f>IF(AQ281="7",BH281,0)</f>
        <v>0</v>
      </c>
      <c r="AE281" s="83">
        <f>IF(AQ281="7",BI281,0)</f>
        <v>0</v>
      </c>
      <c r="AF281" s="83">
        <f>IF(AQ281="2",BH281,0)</f>
        <v>0</v>
      </c>
      <c r="AG281" s="83">
        <f>IF(AQ281="2",BI281,0)</f>
        <v>0</v>
      </c>
      <c r="AH281" s="83">
        <f>IF(AQ281="0",BJ281,0)</f>
        <v>0</v>
      </c>
      <c r="AI281" s="72" t="s">
        <v>49</v>
      </c>
      <c r="AJ281" s="83">
        <f>IF(AN281=0,M281,0)</f>
        <v>0</v>
      </c>
      <c r="AK281" s="83">
        <f>IF(AN281=15,M281,0)</f>
        <v>0</v>
      </c>
      <c r="AL281" s="83">
        <f>IF(AN281=21,M281,0)</f>
        <v>0</v>
      </c>
      <c r="AN281" s="83">
        <v>21</v>
      </c>
      <c r="AO281" s="83">
        <f>L281*0.919027545170379</f>
        <v>0</v>
      </c>
      <c r="AP281" s="83">
        <f>L281*(1-0.919027545170379)</f>
        <v>0</v>
      </c>
      <c r="AQ281" s="85" t="s">
        <v>52</v>
      </c>
      <c r="AV281" s="83">
        <f>AW281+AX281</f>
        <v>0</v>
      </c>
      <c r="AW281" s="83">
        <f>K281*AO281</f>
        <v>0</v>
      </c>
      <c r="AX281" s="83">
        <f>K281*AP281</f>
        <v>0</v>
      </c>
      <c r="AY281" s="85" t="s">
        <v>509</v>
      </c>
      <c r="AZ281" s="85" t="s">
        <v>510</v>
      </c>
      <c r="BA281" s="72" t="s">
        <v>58</v>
      </c>
      <c r="BC281" s="83">
        <f>AW281+AX281</f>
        <v>0</v>
      </c>
      <c r="BD281" s="83">
        <f>L281/(100-BE281)*100</f>
        <v>0</v>
      </c>
      <c r="BE281" s="83">
        <v>0</v>
      </c>
      <c r="BF281" s="83">
        <f>281</f>
        <v>281</v>
      </c>
      <c r="BH281" s="83">
        <f>K281*AO281</f>
        <v>0</v>
      </c>
      <c r="BI281" s="83">
        <f>K281*AP281</f>
        <v>0</v>
      </c>
      <c r="BJ281" s="83">
        <f>K281*L281</f>
        <v>0</v>
      </c>
      <c r="BK281" s="83"/>
      <c r="BL281" s="83">
        <v>56</v>
      </c>
    </row>
    <row r="282" spans="1:13" ht="15" customHeight="1">
      <c r="A282" s="86"/>
      <c r="C282" s="87" t="s">
        <v>519</v>
      </c>
      <c r="I282" s="87" t="s">
        <v>520</v>
      </c>
      <c r="K282" s="88">
        <v>486.75000000000006</v>
      </c>
      <c r="M282" s="89"/>
    </row>
    <row r="283" spans="1:13" ht="15" customHeight="1">
      <c r="A283" s="86"/>
      <c r="C283" s="87" t="s">
        <v>521</v>
      </c>
      <c r="I283" s="87" t="s">
        <v>522</v>
      </c>
      <c r="K283" s="88">
        <v>926.0000000000001</v>
      </c>
      <c r="M283" s="89"/>
    </row>
    <row r="284" spans="1:13" ht="15" customHeight="1">
      <c r="A284" s="86"/>
      <c r="C284" s="87" t="s">
        <v>468</v>
      </c>
      <c r="I284" s="87" t="s">
        <v>523</v>
      </c>
      <c r="K284" s="88">
        <v>75</v>
      </c>
      <c r="M284" s="89"/>
    </row>
    <row r="285" spans="1:13" ht="15" customHeight="1">
      <c r="A285" s="86"/>
      <c r="C285" s="87" t="s">
        <v>111</v>
      </c>
      <c r="I285" s="87" t="s">
        <v>524</v>
      </c>
      <c r="K285" s="88">
        <v>10</v>
      </c>
      <c r="M285" s="89"/>
    </row>
    <row r="286" spans="1:13" ht="15" customHeight="1">
      <c r="A286" s="86"/>
      <c r="C286" s="87" t="s">
        <v>525</v>
      </c>
      <c r="I286" s="87" t="s">
        <v>88</v>
      </c>
      <c r="K286" s="88">
        <v>-422.58900000000006</v>
      </c>
      <c r="M286" s="89"/>
    </row>
    <row r="287" spans="1:13" ht="15" customHeight="1">
      <c r="A287" s="86"/>
      <c r="C287" s="87" t="s">
        <v>526</v>
      </c>
      <c r="I287" s="87" t="s">
        <v>90</v>
      </c>
      <c r="K287" s="88">
        <v>-272.767</v>
      </c>
      <c r="M287" s="89"/>
    </row>
    <row r="288" spans="1:64" ht="15" customHeight="1">
      <c r="A288" s="65" t="s">
        <v>513</v>
      </c>
      <c r="B288" s="66" t="s">
        <v>528</v>
      </c>
      <c r="C288" s="150" t="s">
        <v>529</v>
      </c>
      <c r="D288" s="150"/>
      <c r="E288" s="150"/>
      <c r="F288" s="150"/>
      <c r="G288" s="150"/>
      <c r="H288" s="150"/>
      <c r="I288" s="150"/>
      <c r="J288" s="66" t="s">
        <v>79</v>
      </c>
      <c r="K288" s="83">
        <v>548.575</v>
      </c>
      <c r="L288" s="108"/>
      <c r="M288" s="84">
        <f>K288*L288</f>
        <v>0</v>
      </c>
      <c r="Z288" s="83">
        <f>IF(AQ288="5",BJ288,0)</f>
        <v>0</v>
      </c>
      <c r="AB288" s="83">
        <f>IF(AQ288="1",BH288,0)</f>
        <v>0</v>
      </c>
      <c r="AC288" s="83">
        <f>IF(AQ288="1",BI288,0)</f>
        <v>0</v>
      </c>
      <c r="AD288" s="83">
        <f>IF(AQ288="7",BH288,0)</f>
        <v>0</v>
      </c>
      <c r="AE288" s="83">
        <f>IF(AQ288="7",BI288,0)</f>
        <v>0</v>
      </c>
      <c r="AF288" s="83">
        <f>IF(AQ288="2",BH288,0)</f>
        <v>0</v>
      </c>
      <c r="AG288" s="83">
        <f>IF(AQ288="2",BI288,0)</f>
        <v>0</v>
      </c>
      <c r="AH288" s="83">
        <f>IF(AQ288="0",BJ288,0)</f>
        <v>0</v>
      </c>
      <c r="AI288" s="72" t="s">
        <v>49</v>
      </c>
      <c r="AJ288" s="83">
        <f>IF(AN288=0,M288,0)</f>
        <v>0</v>
      </c>
      <c r="AK288" s="83">
        <f>IF(AN288=15,M288,0)</f>
        <v>0</v>
      </c>
      <c r="AL288" s="83">
        <f>IF(AN288=21,M288,0)</f>
        <v>0</v>
      </c>
      <c r="AN288" s="83">
        <v>21</v>
      </c>
      <c r="AO288" s="83">
        <f>L288*0.9014195079645</f>
        <v>0</v>
      </c>
      <c r="AP288" s="83">
        <f>L288*(1-0.9014195079645)</f>
        <v>0</v>
      </c>
      <c r="AQ288" s="85" t="s">
        <v>52</v>
      </c>
      <c r="AV288" s="83">
        <f>AW288+AX288</f>
        <v>0</v>
      </c>
      <c r="AW288" s="83">
        <f>K288*AO288</f>
        <v>0</v>
      </c>
      <c r="AX288" s="83">
        <f>K288*AP288</f>
        <v>0</v>
      </c>
      <c r="AY288" s="85" t="s">
        <v>509</v>
      </c>
      <c r="AZ288" s="85" t="s">
        <v>510</v>
      </c>
      <c r="BA288" s="72" t="s">
        <v>58</v>
      </c>
      <c r="BC288" s="83">
        <f>AW288+AX288</f>
        <v>0</v>
      </c>
      <c r="BD288" s="83">
        <f>L288/(100-BE288)*100</f>
        <v>0</v>
      </c>
      <c r="BE288" s="83">
        <v>0</v>
      </c>
      <c r="BF288" s="83">
        <f>288</f>
        <v>288</v>
      </c>
      <c r="BH288" s="83">
        <f>K288*AO288</f>
        <v>0</v>
      </c>
      <c r="BI288" s="83">
        <f>K288*AP288</f>
        <v>0</v>
      </c>
      <c r="BJ288" s="83">
        <f>K288*L288</f>
        <v>0</v>
      </c>
      <c r="BK288" s="83"/>
      <c r="BL288" s="83">
        <v>56</v>
      </c>
    </row>
    <row r="289" spans="1:13" ht="15" customHeight="1">
      <c r="A289" s="86"/>
      <c r="C289" s="87" t="s">
        <v>530</v>
      </c>
      <c r="I289" s="87" t="s">
        <v>531</v>
      </c>
      <c r="K289" s="88">
        <v>737.0000000000001</v>
      </c>
      <c r="M289" s="89"/>
    </row>
    <row r="290" spans="1:13" ht="15" customHeight="1">
      <c r="A290" s="86"/>
      <c r="C290" s="87" t="s">
        <v>461</v>
      </c>
      <c r="I290" s="87" t="s">
        <v>532</v>
      </c>
      <c r="K290" s="88">
        <v>73</v>
      </c>
      <c r="M290" s="89"/>
    </row>
    <row r="291" spans="1:13" ht="15" customHeight="1">
      <c r="A291" s="86"/>
      <c r="C291" s="87" t="s">
        <v>533</v>
      </c>
      <c r="I291" s="87" t="s">
        <v>88</v>
      </c>
      <c r="K291" s="88">
        <v>-176.91400000000002</v>
      </c>
      <c r="M291" s="89"/>
    </row>
    <row r="292" spans="1:13" ht="15" customHeight="1">
      <c r="A292" s="86"/>
      <c r="C292" s="87" t="s">
        <v>534</v>
      </c>
      <c r="I292" s="87" t="s">
        <v>90</v>
      </c>
      <c r="K292" s="88">
        <v>-84.51100000000001</v>
      </c>
      <c r="M292" s="89"/>
    </row>
    <row r="293" spans="1:64" ht="15" customHeight="1">
      <c r="A293" s="65" t="s">
        <v>164</v>
      </c>
      <c r="B293" s="66" t="s">
        <v>535</v>
      </c>
      <c r="C293" s="150" t="s">
        <v>536</v>
      </c>
      <c r="D293" s="150"/>
      <c r="E293" s="150"/>
      <c r="F293" s="150"/>
      <c r="G293" s="150"/>
      <c r="H293" s="150"/>
      <c r="I293" s="150"/>
      <c r="J293" s="66" t="s">
        <v>79</v>
      </c>
      <c r="K293" s="83">
        <v>1359.2</v>
      </c>
      <c r="L293" s="108"/>
      <c r="M293" s="84">
        <f>K293*L293</f>
        <v>0</v>
      </c>
      <c r="Z293" s="83">
        <f>IF(AQ293="5",BJ293,0)</f>
        <v>0</v>
      </c>
      <c r="AB293" s="83">
        <f>IF(AQ293="1",BH293,0)</f>
        <v>0</v>
      </c>
      <c r="AC293" s="83">
        <f>IF(AQ293="1",BI293,0)</f>
        <v>0</v>
      </c>
      <c r="AD293" s="83">
        <f>IF(AQ293="7",BH293,0)</f>
        <v>0</v>
      </c>
      <c r="AE293" s="83">
        <f>IF(AQ293="7",BI293,0)</f>
        <v>0</v>
      </c>
      <c r="AF293" s="83">
        <f>IF(AQ293="2",BH293,0)</f>
        <v>0</v>
      </c>
      <c r="AG293" s="83">
        <f>IF(AQ293="2",BI293,0)</f>
        <v>0</v>
      </c>
      <c r="AH293" s="83">
        <f>IF(AQ293="0",BJ293,0)</f>
        <v>0</v>
      </c>
      <c r="AI293" s="72" t="s">
        <v>49</v>
      </c>
      <c r="AJ293" s="83">
        <f>IF(AN293=0,M293,0)</f>
        <v>0</v>
      </c>
      <c r="AK293" s="83">
        <f>IF(AN293=15,M293,0)</f>
        <v>0</v>
      </c>
      <c r="AL293" s="83">
        <f>IF(AN293=21,M293,0)</f>
        <v>0</v>
      </c>
      <c r="AN293" s="83">
        <v>21</v>
      </c>
      <c r="AO293" s="83">
        <f>L293*0.883438242116225</f>
        <v>0</v>
      </c>
      <c r="AP293" s="83">
        <f>L293*(1-0.883438242116225)</f>
        <v>0</v>
      </c>
      <c r="AQ293" s="85" t="s">
        <v>52</v>
      </c>
      <c r="AV293" s="83">
        <f>AW293+AX293</f>
        <v>0</v>
      </c>
      <c r="AW293" s="83">
        <f>K293*AO293</f>
        <v>0</v>
      </c>
      <c r="AX293" s="83">
        <f>K293*AP293</f>
        <v>0</v>
      </c>
      <c r="AY293" s="85" t="s">
        <v>509</v>
      </c>
      <c r="AZ293" s="85" t="s">
        <v>510</v>
      </c>
      <c r="BA293" s="72" t="s">
        <v>58</v>
      </c>
      <c r="BC293" s="83">
        <f>AW293+AX293</f>
        <v>0</v>
      </c>
      <c r="BD293" s="83">
        <f>L293/(100-BE293)*100</f>
        <v>0</v>
      </c>
      <c r="BE293" s="83">
        <v>0</v>
      </c>
      <c r="BF293" s="83">
        <f>293</f>
        <v>293</v>
      </c>
      <c r="BH293" s="83">
        <f>K293*AO293</f>
        <v>0</v>
      </c>
      <c r="BI293" s="83">
        <f>K293*AP293</f>
        <v>0</v>
      </c>
      <c r="BJ293" s="83">
        <f>K293*L293</f>
        <v>0</v>
      </c>
      <c r="BK293" s="83"/>
      <c r="BL293" s="83">
        <v>56</v>
      </c>
    </row>
    <row r="294" spans="1:13" ht="15" customHeight="1">
      <c r="A294" s="86"/>
      <c r="C294" s="87" t="s">
        <v>537</v>
      </c>
      <c r="I294" s="87" t="s">
        <v>538</v>
      </c>
      <c r="K294" s="88">
        <v>1720.0000000000002</v>
      </c>
      <c r="M294" s="89"/>
    </row>
    <row r="295" spans="1:13" ht="15" customHeight="1">
      <c r="A295" s="86"/>
      <c r="C295" s="87" t="s">
        <v>539</v>
      </c>
      <c r="I295" s="87" t="s">
        <v>540</v>
      </c>
      <c r="K295" s="88">
        <v>-75</v>
      </c>
      <c r="M295" s="89"/>
    </row>
    <row r="296" spans="1:13" ht="15" customHeight="1">
      <c r="A296" s="86"/>
      <c r="C296" s="87" t="s">
        <v>541</v>
      </c>
      <c r="I296" s="87" t="s">
        <v>88</v>
      </c>
      <c r="K296" s="88">
        <v>-209.8</v>
      </c>
      <c r="M296" s="89"/>
    </row>
    <row r="297" spans="1:13" ht="15" customHeight="1">
      <c r="A297" s="86"/>
      <c r="C297" s="87" t="s">
        <v>542</v>
      </c>
      <c r="I297" s="87" t="s">
        <v>90</v>
      </c>
      <c r="K297" s="88">
        <v>-76</v>
      </c>
      <c r="M297" s="89"/>
    </row>
    <row r="298" spans="1:64" ht="15" customHeight="1">
      <c r="A298" s="65" t="s">
        <v>527</v>
      </c>
      <c r="B298" s="66" t="s">
        <v>544</v>
      </c>
      <c r="C298" s="150" t="s">
        <v>545</v>
      </c>
      <c r="D298" s="150"/>
      <c r="E298" s="150"/>
      <c r="F298" s="150"/>
      <c r="G298" s="150"/>
      <c r="H298" s="150"/>
      <c r="I298" s="150"/>
      <c r="J298" s="66" t="s">
        <v>79</v>
      </c>
      <c r="K298" s="83">
        <v>1043.824</v>
      </c>
      <c r="L298" s="108"/>
      <c r="M298" s="84">
        <f>K298*L298</f>
        <v>0</v>
      </c>
      <c r="Z298" s="83">
        <f>IF(AQ298="5",BJ298,0)</f>
        <v>0</v>
      </c>
      <c r="AB298" s="83">
        <f>IF(AQ298="1",BH298,0)</f>
        <v>0</v>
      </c>
      <c r="AC298" s="83">
        <f>IF(AQ298="1",BI298,0)</f>
        <v>0</v>
      </c>
      <c r="AD298" s="83">
        <f>IF(AQ298="7",BH298,0)</f>
        <v>0</v>
      </c>
      <c r="AE298" s="83">
        <f>IF(AQ298="7",BI298,0)</f>
        <v>0</v>
      </c>
      <c r="AF298" s="83">
        <f>IF(AQ298="2",BH298,0)</f>
        <v>0</v>
      </c>
      <c r="AG298" s="83">
        <f>IF(AQ298="2",BI298,0)</f>
        <v>0</v>
      </c>
      <c r="AH298" s="83">
        <f>IF(AQ298="0",BJ298,0)</f>
        <v>0</v>
      </c>
      <c r="AI298" s="72" t="s">
        <v>49</v>
      </c>
      <c r="AJ298" s="83">
        <f>IF(AN298=0,M298,0)</f>
        <v>0</v>
      </c>
      <c r="AK298" s="83">
        <f>IF(AN298=15,M298,0)</f>
        <v>0</v>
      </c>
      <c r="AL298" s="83">
        <f>IF(AN298=21,M298,0)</f>
        <v>0</v>
      </c>
      <c r="AN298" s="83">
        <v>21</v>
      </c>
      <c r="AO298" s="83">
        <f>L298*0.859685695027425</f>
        <v>0</v>
      </c>
      <c r="AP298" s="83">
        <f>L298*(1-0.859685695027425)</f>
        <v>0</v>
      </c>
      <c r="AQ298" s="85" t="s">
        <v>52</v>
      </c>
      <c r="AV298" s="83">
        <f>AW298+AX298</f>
        <v>0</v>
      </c>
      <c r="AW298" s="83">
        <f>K298*AO298</f>
        <v>0</v>
      </c>
      <c r="AX298" s="83">
        <f>K298*AP298</f>
        <v>0</v>
      </c>
      <c r="AY298" s="85" t="s">
        <v>509</v>
      </c>
      <c r="AZ298" s="85" t="s">
        <v>510</v>
      </c>
      <c r="BA298" s="72" t="s">
        <v>58</v>
      </c>
      <c r="BC298" s="83">
        <f>AW298+AX298</f>
        <v>0</v>
      </c>
      <c r="BD298" s="83">
        <f>L298/(100-BE298)*100</f>
        <v>0</v>
      </c>
      <c r="BE298" s="83">
        <v>0</v>
      </c>
      <c r="BF298" s="83">
        <f>298</f>
        <v>298</v>
      </c>
      <c r="BH298" s="83">
        <f>K298*AO298</f>
        <v>0</v>
      </c>
      <c r="BI298" s="83">
        <f>K298*AP298</f>
        <v>0</v>
      </c>
      <c r="BJ298" s="83">
        <f>K298*L298</f>
        <v>0</v>
      </c>
      <c r="BK298" s="83"/>
      <c r="BL298" s="83">
        <v>56</v>
      </c>
    </row>
    <row r="299" spans="1:13" ht="13.5" customHeight="1">
      <c r="A299" s="86"/>
      <c r="B299" s="90" t="s">
        <v>273</v>
      </c>
      <c r="C299" s="161" t="s">
        <v>546</v>
      </c>
      <c r="D299" s="162"/>
      <c r="E299" s="162"/>
      <c r="F299" s="162"/>
      <c r="G299" s="162"/>
      <c r="H299" s="162"/>
      <c r="I299" s="162"/>
      <c r="J299" s="162"/>
      <c r="K299" s="162"/>
      <c r="L299" s="162"/>
      <c r="M299" s="163"/>
    </row>
    <row r="300" spans="1:13" ht="15" customHeight="1">
      <c r="A300" s="86"/>
      <c r="C300" s="87" t="s">
        <v>547</v>
      </c>
      <c r="I300" s="87" t="s">
        <v>548</v>
      </c>
      <c r="K300" s="88">
        <v>622</v>
      </c>
      <c r="M300" s="89"/>
    </row>
    <row r="301" spans="1:13" ht="15" customHeight="1">
      <c r="A301" s="86"/>
      <c r="C301" s="87" t="s">
        <v>549</v>
      </c>
      <c r="I301" s="87" t="s">
        <v>550</v>
      </c>
      <c r="K301" s="88">
        <v>1117</v>
      </c>
      <c r="M301" s="89"/>
    </row>
    <row r="302" spans="1:13" ht="15" customHeight="1">
      <c r="A302" s="86"/>
      <c r="C302" s="87" t="s">
        <v>525</v>
      </c>
      <c r="I302" s="87" t="s">
        <v>88</v>
      </c>
      <c r="K302" s="88">
        <v>-422.58900000000006</v>
      </c>
      <c r="M302" s="89"/>
    </row>
    <row r="303" spans="1:13" ht="15" customHeight="1">
      <c r="A303" s="86"/>
      <c r="C303" s="87" t="s">
        <v>551</v>
      </c>
      <c r="I303" s="87" t="s">
        <v>90</v>
      </c>
      <c r="K303" s="88">
        <v>-272.58700000000005</v>
      </c>
      <c r="M303" s="89"/>
    </row>
    <row r="304" spans="1:64" ht="15" customHeight="1">
      <c r="A304" s="65" t="s">
        <v>149</v>
      </c>
      <c r="B304" s="66" t="s">
        <v>553</v>
      </c>
      <c r="C304" s="150" t="s">
        <v>554</v>
      </c>
      <c r="D304" s="150"/>
      <c r="E304" s="150"/>
      <c r="F304" s="150"/>
      <c r="G304" s="150"/>
      <c r="H304" s="150"/>
      <c r="I304" s="150"/>
      <c r="J304" s="66" t="s">
        <v>79</v>
      </c>
      <c r="K304" s="83">
        <v>3719.775</v>
      </c>
      <c r="L304" s="108"/>
      <c r="M304" s="84">
        <f>K304*L304</f>
        <v>0</v>
      </c>
      <c r="Z304" s="83">
        <f>IF(AQ304="5",BJ304,0)</f>
        <v>0</v>
      </c>
      <c r="AB304" s="83">
        <f>IF(AQ304="1",BH304,0)</f>
        <v>0</v>
      </c>
      <c r="AC304" s="83">
        <f>IF(AQ304="1",BI304,0)</f>
        <v>0</v>
      </c>
      <c r="AD304" s="83">
        <f>IF(AQ304="7",BH304,0)</f>
        <v>0</v>
      </c>
      <c r="AE304" s="83">
        <f>IF(AQ304="7",BI304,0)</f>
        <v>0</v>
      </c>
      <c r="AF304" s="83">
        <f>IF(AQ304="2",BH304,0)</f>
        <v>0</v>
      </c>
      <c r="AG304" s="83">
        <f>IF(AQ304="2",BI304,0)</f>
        <v>0</v>
      </c>
      <c r="AH304" s="83">
        <f>IF(AQ304="0",BJ304,0)</f>
        <v>0</v>
      </c>
      <c r="AI304" s="72" t="s">
        <v>49</v>
      </c>
      <c r="AJ304" s="83">
        <f>IF(AN304=0,M304,0)</f>
        <v>0</v>
      </c>
      <c r="AK304" s="83">
        <f>IF(AN304=15,M304,0)</f>
        <v>0</v>
      </c>
      <c r="AL304" s="83">
        <f>IF(AN304=21,M304,0)</f>
        <v>0</v>
      </c>
      <c r="AN304" s="83">
        <v>21</v>
      </c>
      <c r="AO304" s="83">
        <f>L304*0.835393656912758</f>
        <v>0</v>
      </c>
      <c r="AP304" s="83">
        <f>L304*(1-0.835393656912758)</f>
        <v>0</v>
      </c>
      <c r="AQ304" s="85" t="s">
        <v>52</v>
      </c>
      <c r="AV304" s="83">
        <f>AW304+AX304</f>
        <v>0</v>
      </c>
      <c r="AW304" s="83">
        <f>K304*AO304</f>
        <v>0</v>
      </c>
      <c r="AX304" s="83">
        <f>K304*AP304</f>
        <v>0</v>
      </c>
      <c r="AY304" s="85" t="s">
        <v>509</v>
      </c>
      <c r="AZ304" s="85" t="s">
        <v>510</v>
      </c>
      <c r="BA304" s="72" t="s">
        <v>58</v>
      </c>
      <c r="BC304" s="83">
        <f>AW304+AX304</f>
        <v>0</v>
      </c>
      <c r="BD304" s="83">
        <f>L304/(100-BE304)*100</f>
        <v>0</v>
      </c>
      <c r="BE304" s="83">
        <v>0</v>
      </c>
      <c r="BF304" s="83">
        <f>304</f>
        <v>304</v>
      </c>
      <c r="BH304" s="83">
        <f>K304*AO304</f>
        <v>0</v>
      </c>
      <c r="BI304" s="83">
        <f>K304*AP304</f>
        <v>0</v>
      </c>
      <c r="BJ304" s="83">
        <f>K304*L304</f>
        <v>0</v>
      </c>
      <c r="BK304" s="83"/>
      <c r="BL304" s="83">
        <v>56</v>
      </c>
    </row>
    <row r="305" spans="1:13" ht="13.5" customHeight="1">
      <c r="A305" s="86"/>
      <c r="B305" s="90" t="s">
        <v>273</v>
      </c>
      <c r="C305" s="161" t="s">
        <v>546</v>
      </c>
      <c r="D305" s="162"/>
      <c r="E305" s="162"/>
      <c r="F305" s="162"/>
      <c r="G305" s="162"/>
      <c r="H305" s="162"/>
      <c r="I305" s="162"/>
      <c r="J305" s="162"/>
      <c r="K305" s="162"/>
      <c r="L305" s="162"/>
      <c r="M305" s="163"/>
    </row>
    <row r="306" spans="1:13" ht="15" customHeight="1">
      <c r="A306" s="86"/>
      <c r="C306" s="87" t="s">
        <v>537</v>
      </c>
      <c r="I306" s="87" t="s">
        <v>538</v>
      </c>
      <c r="K306" s="88">
        <v>1720.0000000000002</v>
      </c>
      <c r="M306" s="89"/>
    </row>
    <row r="307" spans="1:13" ht="15" customHeight="1">
      <c r="A307" s="86"/>
      <c r="C307" s="87" t="s">
        <v>530</v>
      </c>
      <c r="I307" s="87" t="s">
        <v>531</v>
      </c>
      <c r="K307" s="88">
        <v>737.0000000000001</v>
      </c>
      <c r="M307" s="89"/>
    </row>
    <row r="308" spans="1:13" ht="15" customHeight="1">
      <c r="A308" s="86"/>
      <c r="C308" s="87" t="s">
        <v>555</v>
      </c>
      <c r="I308" s="87" t="s">
        <v>556</v>
      </c>
      <c r="K308" s="88">
        <v>1810.0000000000002</v>
      </c>
      <c r="M308" s="89"/>
    </row>
    <row r="309" spans="1:13" ht="15" customHeight="1">
      <c r="A309" s="86"/>
      <c r="C309" s="87" t="s">
        <v>557</v>
      </c>
      <c r="I309" s="87" t="s">
        <v>88</v>
      </c>
      <c r="K309" s="88">
        <v>-386.71400000000006</v>
      </c>
      <c r="M309" s="89"/>
    </row>
    <row r="310" spans="1:13" ht="15" customHeight="1">
      <c r="A310" s="86"/>
      <c r="C310" s="87" t="s">
        <v>558</v>
      </c>
      <c r="I310" s="87" t="s">
        <v>90</v>
      </c>
      <c r="K310" s="88">
        <v>-160.51100000000002</v>
      </c>
      <c r="M310" s="89"/>
    </row>
    <row r="311" spans="1:64" ht="15" customHeight="1">
      <c r="A311" s="65" t="s">
        <v>543</v>
      </c>
      <c r="B311" s="66" t="s">
        <v>560</v>
      </c>
      <c r="C311" s="150" t="s">
        <v>561</v>
      </c>
      <c r="D311" s="150"/>
      <c r="E311" s="150"/>
      <c r="F311" s="150"/>
      <c r="G311" s="150"/>
      <c r="H311" s="150"/>
      <c r="I311" s="150"/>
      <c r="J311" s="66" t="s">
        <v>79</v>
      </c>
      <c r="K311" s="83">
        <v>90</v>
      </c>
      <c r="L311" s="108"/>
      <c r="M311" s="84">
        <f>K311*L311</f>
        <v>0</v>
      </c>
      <c r="Z311" s="83">
        <f>IF(AQ311="5",BJ311,0)</f>
        <v>0</v>
      </c>
      <c r="AB311" s="83">
        <f>IF(AQ311="1",BH311,0)</f>
        <v>0</v>
      </c>
      <c r="AC311" s="83">
        <f>IF(AQ311="1",BI311,0)</f>
        <v>0</v>
      </c>
      <c r="AD311" s="83">
        <f>IF(AQ311="7",BH311,0)</f>
        <v>0</v>
      </c>
      <c r="AE311" s="83">
        <f>IF(AQ311="7",BI311,0)</f>
        <v>0</v>
      </c>
      <c r="AF311" s="83">
        <f>IF(AQ311="2",BH311,0)</f>
        <v>0</v>
      </c>
      <c r="AG311" s="83">
        <f>IF(AQ311="2",BI311,0)</f>
        <v>0</v>
      </c>
      <c r="AH311" s="83">
        <f>IF(AQ311="0",BJ311,0)</f>
        <v>0</v>
      </c>
      <c r="AI311" s="72" t="s">
        <v>49</v>
      </c>
      <c r="AJ311" s="83">
        <f>IF(AN311=0,M311,0)</f>
        <v>0</v>
      </c>
      <c r="AK311" s="83">
        <f>IF(AN311=15,M311,0)</f>
        <v>0</v>
      </c>
      <c r="AL311" s="83">
        <f>IF(AN311=21,M311,0)</f>
        <v>0</v>
      </c>
      <c r="AN311" s="83">
        <v>21</v>
      </c>
      <c r="AO311" s="83">
        <f>L311*0.853459915611814</f>
        <v>0</v>
      </c>
      <c r="AP311" s="83">
        <f>L311*(1-0.853459915611814)</f>
        <v>0</v>
      </c>
      <c r="AQ311" s="85" t="s">
        <v>52</v>
      </c>
      <c r="AV311" s="83">
        <f>AW311+AX311</f>
        <v>0</v>
      </c>
      <c r="AW311" s="83">
        <f>K311*AO311</f>
        <v>0</v>
      </c>
      <c r="AX311" s="83">
        <f>K311*AP311</f>
        <v>0</v>
      </c>
      <c r="AY311" s="85" t="s">
        <v>509</v>
      </c>
      <c r="AZ311" s="85" t="s">
        <v>510</v>
      </c>
      <c r="BA311" s="72" t="s">
        <v>58</v>
      </c>
      <c r="BC311" s="83">
        <f>AW311+AX311</f>
        <v>0</v>
      </c>
      <c r="BD311" s="83">
        <f>L311/(100-BE311)*100</f>
        <v>0</v>
      </c>
      <c r="BE311" s="83">
        <v>0</v>
      </c>
      <c r="BF311" s="83">
        <f>311</f>
        <v>311</v>
      </c>
      <c r="BH311" s="83">
        <f>K311*AO311</f>
        <v>0</v>
      </c>
      <c r="BI311" s="83">
        <f>K311*AP311</f>
        <v>0</v>
      </c>
      <c r="BJ311" s="83">
        <f>K311*L311</f>
        <v>0</v>
      </c>
      <c r="BK311" s="83"/>
      <c r="BL311" s="83">
        <v>56</v>
      </c>
    </row>
    <row r="312" spans="1:13" ht="13.5" customHeight="1">
      <c r="A312" s="86"/>
      <c r="B312" s="90" t="s">
        <v>273</v>
      </c>
      <c r="C312" s="161" t="s">
        <v>546</v>
      </c>
      <c r="D312" s="162"/>
      <c r="E312" s="162"/>
      <c r="F312" s="162"/>
      <c r="G312" s="162"/>
      <c r="H312" s="162"/>
      <c r="I312" s="162"/>
      <c r="J312" s="162"/>
      <c r="K312" s="162"/>
      <c r="L312" s="162"/>
      <c r="M312" s="163"/>
    </row>
    <row r="313" spans="1:13" ht="15" customHeight="1">
      <c r="A313" s="86"/>
      <c r="C313" s="87" t="s">
        <v>559</v>
      </c>
      <c r="I313" s="87" t="s">
        <v>532</v>
      </c>
      <c r="K313" s="88">
        <v>90.00000000000001</v>
      </c>
      <c r="M313" s="89"/>
    </row>
    <row r="314" spans="1:64" ht="15" customHeight="1">
      <c r="A314" s="65" t="s">
        <v>552</v>
      </c>
      <c r="B314" s="66" t="s">
        <v>563</v>
      </c>
      <c r="C314" s="150" t="s">
        <v>564</v>
      </c>
      <c r="D314" s="150"/>
      <c r="E314" s="150"/>
      <c r="F314" s="150"/>
      <c r="G314" s="150"/>
      <c r="H314" s="150"/>
      <c r="I314" s="150"/>
      <c r="J314" s="66" t="s">
        <v>79</v>
      </c>
      <c r="K314" s="83">
        <v>12</v>
      </c>
      <c r="L314" s="108"/>
      <c r="M314" s="84">
        <f>K314*L314</f>
        <v>0</v>
      </c>
      <c r="Z314" s="83">
        <f>IF(AQ314="5",BJ314,0)</f>
        <v>0</v>
      </c>
      <c r="AB314" s="83">
        <f>IF(AQ314="1",BH314,0)</f>
        <v>0</v>
      </c>
      <c r="AC314" s="83">
        <f>IF(AQ314="1",BI314,0)</f>
        <v>0</v>
      </c>
      <c r="AD314" s="83">
        <f>IF(AQ314="7",BH314,0)</f>
        <v>0</v>
      </c>
      <c r="AE314" s="83">
        <f>IF(AQ314="7",BI314,0)</f>
        <v>0</v>
      </c>
      <c r="AF314" s="83">
        <f>IF(AQ314="2",BH314,0)</f>
        <v>0</v>
      </c>
      <c r="AG314" s="83">
        <f>IF(AQ314="2",BI314,0)</f>
        <v>0</v>
      </c>
      <c r="AH314" s="83">
        <f>IF(AQ314="0",BJ314,0)</f>
        <v>0</v>
      </c>
      <c r="AI314" s="72" t="s">
        <v>49</v>
      </c>
      <c r="AJ314" s="83">
        <f>IF(AN314=0,M314,0)</f>
        <v>0</v>
      </c>
      <c r="AK314" s="83">
        <f>IF(AN314=15,M314,0)</f>
        <v>0</v>
      </c>
      <c r="AL314" s="83">
        <f>IF(AN314=21,M314,0)</f>
        <v>0</v>
      </c>
      <c r="AN314" s="83">
        <v>21</v>
      </c>
      <c r="AO314" s="83">
        <f>L314*0.570785398110369</f>
        <v>0</v>
      </c>
      <c r="AP314" s="83">
        <f>L314*(1-0.570785398110369)</f>
        <v>0</v>
      </c>
      <c r="AQ314" s="85" t="s">
        <v>52</v>
      </c>
      <c r="AV314" s="83">
        <f>AW314+AX314</f>
        <v>0</v>
      </c>
      <c r="AW314" s="83">
        <f>K314*AO314</f>
        <v>0</v>
      </c>
      <c r="AX314" s="83">
        <f>K314*AP314</f>
        <v>0</v>
      </c>
      <c r="AY314" s="85" t="s">
        <v>509</v>
      </c>
      <c r="AZ314" s="85" t="s">
        <v>510</v>
      </c>
      <c r="BA314" s="72" t="s">
        <v>58</v>
      </c>
      <c r="BC314" s="83">
        <f>AW314+AX314</f>
        <v>0</v>
      </c>
      <c r="BD314" s="83">
        <f>L314/(100-BE314)*100</f>
        <v>0</v>
      </c>
      <c r="BE314" s="83">
        <v>0</v>
      </c>
      <c r="BF314" s="83">
        <f>314</f>
        <v>314</v>
      </c>
      <c r="BH314" s="83">
        <f>K314*AO314</f>
        <v>0</v>
      </c>
      <c r="BI314" s="83">
        <f>K314*AP314</f>
        <v>0</v>
      </c>
      <c r="BJ314" s="83">
        <f>K314*L314</f>
        <v>0</v>
      </c>
      <c r="BK314" s="83"/>
      <c r="BL314" s="83">
        <v>56</v>
      </c>
    </row>
    <row r="315" spans="1:13" ht="15" customHeight="1">
      <c r="A315" s="86"/>
      <c r="C315" s="87" t="s">
        <v>123</v>
      </c>
      <c r="I315" s="87" t="s">
        <v>524</v>
      </c>
      <c r="K315" s="88">
        <v>12.000000000000002</v>
      </c>
      <c r="M315" s="89"/>
    </row>
    <row r="316" spans="1:64" ht="15" customHeight="1">
      <c r="A316" s="65" t="s">
        <v>559</v>
      </c>
      <c r="B316" s="66" t="s">
        <v>566</v>
      </c>
      <c r="C316" s="150" t="s">
        <v>567</v>
      </c>
      <c r="D316" s="150"/>
      <c r="E316" s="150"/>
      <c r="F316" s="150"/>
      <c r="G316" s="150"/>
      <c r="H316" s="150"/>
      <c r="I316" s="150"/>
      <c r="J316" s="66" t="s">
        <v>79</v>
      </c>
      <c r="K316" s="83">
        <v>2476</v>
      </c>
      <c r="L316" s="108"/>
      <c r="M316" s="84">
        <f>K316*L316</f>
        <v>0</v>
      </c>
      <c r="Z316" s="83">
        <f>IF(AQ316="5",BJ316,0)</f>
        <v>0</v>
      </c>
      <c r="AB316" s="83">
        <f>IF(AQ316="1",BH316,0)</f>
        <v>0</v>
      </c>
      <c r="AC316" s="83">
        <f>IF(AQ316="1",BI316,0)</f>
        <v>0</v>
      </c>
      <c r="AD316" s="83">
        <f>IF(AQ316="7",BH316,0)</f>
        <v>0</v>
      </c>
      <c r="AE316" s="83">
        <f>IF(AQ316="7",BI316,0)</f>
        <v>0</v>
      </c>
      <c r="AF316" s="83">
        <f>IF(AQ316="2",BH316,0)</f>
        <v>0</v>
      </c>
      <c r="AG316" s="83">
        <f>IF(AQ316="2",BI316,0)</f>
        <v>0</v>
      </c>
      <c r="AH316" s="83">
        <f>IF(AQ316="0",BJ316,0)</f>
        <v>0</v>
      </c>
      <c r="AI316" s="72" t="s">
        <v>49</v>
      </c>
      <c r="AJ316" s="83">
        <f>IF(AN316=0,M316,0)</f>
        <v>0</v>
      </c>
      <c r="AK316" s="83">
        <f>IF(AN316=15,M316,0)</f>
        <v>0</v>
      </c>
      <c r="AL316" s="83">
        <f>IF(AN316=21,M316,0)</f>
        <v>0</v>
      </c>
      <c r="AN316" s="83">
        <v>21</v>
      </c>
      <c r="AO316" s="83">
        <f>L316*0.874507772020725</f>
        <v>0</v>
      </c>
      <c r="AP316" s="83">
        <f>L316*(1-0.874507772020725)</f>
        <v>0</v>
      </c>
      <c r="AQ316" s="85" t="s">
        <v>52</v>
      </c>
      <c r="AV316" s="83">
        <f>AW316+AX316</f>
        <v>0</v>
      </c>
      <c r="AW316" s="83">
        <f>K316*AO316</f>
        <v>0</v>
      </c>
      <c r="AX316" s="83">
        <f>K316*AP316</f>
        <v>0</v>
      </c>
      <c r="AY316" s="85" t="s">
        <v>509</v>
      </c>
      <c r="AZ316" s="85" t="s">
        <v>510</v>
      </c>
      <c r="BA316" s="72" t="s">
        <v>58</v>
      </c>
      <c r="BC316" s="83">
        <f>AW316+AX316</f>
        <v>0</v>
      </c>
      <c r="BD316" s="83">
        <f>L316/(100-BE316)*100</f>
        <v>0</v>
      </c>
      <c r="BE316" s="83">
        <v>0</v>
      </c>
      <c r="BF316" s="83">
        <f>316</f>
        <v>316</v>
      </c>
      <c r="BH316" s="83">
        <f>K316*AO316</f>
        <v>0</v>
      </c>
      <c r="BI316" s="83">
        <f>K316*AP316</f>
        <v>0</v>
      </c>
      <c r="BJ316" s="83">
        <f>K316*L316</f>
        <v>0</v>
      </c>
      <c r="BK316" s="83"/>
      <c r="BL316" s="83">
        <v>56</v>
      </c>
    </row>
    <row r="317" spans="1:13" ht="13.5" customHeight="1">
      <c r="A317" s="86"/>
      <c r="B317" s="90" t="s">
        <v>273</v>
      </c>
      <c r="C317" s="161" t="s">
        <v>546</v>
      </c>
      <c r="D317" s="162"/>
      <c r="E317" s="162"/>
      <c r="F317" s="162"/>
      <c r="G317" s="162"/>
      <c r="H317" s="162"/>
      <c r="I317" s="162"/>
      <c r="J317" s="162"/>
      <c r="K317" s="162"/>
      <c r="L317" s="162"/>
      <c r="M317" s="163"/>
    </row>
    <row r="318" spans="1:13" ht="15" customHeight="1">
      <c r="A318" s="86"/>
      <c r="C318" s="87" t="s">
        <v>568</v>
      </c>
      <c r="I318" s="87" t="s">
        <v>569</v>
      </c>
      <c r="K318" s="88">
        <v>2476</v>
      </c>
      <c r="M318" s="89"/>
    </row>
    <row r="319" spans="1:47" ht="15" customHeight="1">
      <c r="A319" s="78" t="s">
        <v>49</v>
      </c>
      <c r="B319" s="79" t="s">
        <v>363</v>
      </c>
      <c r="C319" s="168" t="s">
        <v>570</v>
      </c>
      <c r="D319" s="168"/>
      <c r="E319" s="168"/>
      <c r="F319" s="168"/>
      <c r="G319" s="168"/>
      <c r="H319" s="168"/>
      <c r="I319" s="168"/>
      <c r="J319" s="80" t="s">
        <v>3</v>
      </c>
      <c r="K319" s="80" t="s">
        <v>3</v>
      </c>
      <c r="L319" s="80" t="s">
        <v>3</v>
      </c>
      <c r="M319" s="81">
        <f>SUM(M320:M322)</f>
        <v>0</v>
      </c>
      <c r="AI319" s="72" t="s">
        <v>49</v>
      </c>
      <c r="AS319" s="82">
        <f>SUM(AJ320:AJ322)</f>
        <v>0</v>
      </c>
      <c r="AT319" s="82">
        <f>SUM(AK320:AK322)</f>
        <v>0</v>
      </c>
      <c r="AU319" s="82">
        <f>SUM(AL320:AL322)</f>
        <v>0</v>
      </c>
    </row>
    <row r="320" spans="1:64" ht="15" customHeight="1">
      <c r="A320" s="65" t="s">
        <v>562</v>
      </c>
      <c r="B320" s="66" t="s">
        <v>571</v>
      </c>
      <c r="C320" s="150" t="s">
        <v>572</v>
      </c>
      <c r="D320" s="150"/>
      <c r="E320" s="150"/>
      <c r="F320" s="150"/>
      <c r="G320" s="150"/>
      <c r="H320" s="150"/>
      <c r="I320" s="150"/>
      <c r="J320" s="66" t="s">
        <v>79</v>
      </c>
      <c r="K320" s="83">
        <v>7</v>
      </c>
      <c r="L320" s="108"/>
      <c r="M320" s="84">
        <f>K320*L320</f>
        <v>0</v>
      </c>
      <c r="Z320" s="83">
        <f>IF(AQ320="5",BJ320,0)</f>
        <v>0</v>
      </c>
      <c r="AB320" s="83">
        <f>IF(AQ320="1",BH320,0)</f>
        <v>0</v>
      </c>
      <c r="AC320" s="83">
        <f>IF(AQ320="1",BI320,0)</f>
        <v>0</v>
      </c>
      <c r="AD320" s="83">
        <f>IF(AQ320="7",BH320,0)</f>
        <v>0</v>
      </c>
      <c r="AE320" s="83">
        <f>IF(AQ320="7",BI320,0)</f>
        <v>0</v>
      </c>
      <c r="AF320" s="83">
        <f>IF(AQ320="2",BH320,0)</f>
        <v>0</v>
      </c>
      <c r="AG320" s="83">
        <f>IF(AQ320="2",BI320,0)</f>
        <v>0</v>
      </c>
      <c r="AH320" s="83">
        <f>IF(AQ320="0",BJ320,0)</f>
        <v>0</v>
      </c>
      <c r="AI320" s="72" t="s">
        <v>49</v>
      </c>
      <c r="AJ320" s="83">
        <f>IF(AN320=0,M320,0)</f>
        <v>0</v>
      </c>
      <c r="AK320" s="83">
        <f>IF(AN320=15,M320,0)</f>
        <v>0</v>
      </c>
      <c r="AL320" s="83">
        <f>IF(AN320=21,M320,0)</f>
        <v>0</v>
      </c>
      <c r="AN320" s="83">
        <v>21</v>
      </c>
      <c r="AO320" s="83">
        <f>L320*0.62814871016692</f>
        <v>0</v>
      </c>
      <c r="AP320" s="83">
        <f>L320*(1-0.62814871016692)</f>
        <v>0</v>
      </c>
      <c r="AQ320" s="85" t="s">
        <v>52</v>
      </c>
      <c r="AV320" s="83">
        <f>AW320+AX320</f>
        <v>0</v>
      </c>
      <c r="AW320" s="83">
        <f>K320*AO320</f>
        <v>0</v>
      </c>
      <c r="AX320" s="83">
        <f>K320*AP320</f>
        <v>0</v>
      </c>
      <c r="AY320" s="85" t="s">
        <v>573</v>
      </c>
      <c r="AZ320" s="85" t="s">
        <v>510</v>
      </c>
      <c r="BA320" s="72" t="s">
        <v>58</v>
      </c>
      <c r="BC320" s="83">
        <f>AW320+AX320</f>
        <v>0</v>
      </c>
      <c r="BD320" s="83">
        <f>L320/(100-BE320)*100</f>
        <v>0</v>
      </c>
      <c r="BE320" s="83">
        <v>0</v>
      </c>
      <c r="BF320" s="83">
        <f>320</f>
        <v>320</v>
      </c>
      <c r="BH320" s="83">
        <f>K320*AO320</f>
        <v>0</v>
      </c>
      <c r="BI320" s="83">
        <f>K320*AP320</f>
        <v>0</v>
      </c>
      <c r="BJ320" s="83">
        <f>K320*L320</f>
        <v>0</v>
      </c>
      <c r="BK320" s="83"/>
      <c r="BL320" s="83">
        <v>57</v>
      </c>
    </row>
    <row r="321" spans="1:13" ht="15" customHeight="1">
      <c r="A321" s="86"/>
      <c r="C321" s="87" t="s">
        <v>82</v>
      </c>
      <c r="I321" s="87" t="s">
        <v>49</v>
      </c>
      <c r="K321" s="88">
        <v>7.000000000000001</v>
      </c>
      <c r="M321" s="89"/>
    </row>
    <row r="322" spans="1:64" ht="15" customHeight="1">
      <c r="A322" s="65" t="s">
        <v>565</v>
      </c>
      <c r="B322" s="66" t="s">
        <v>575</v>
      </c>
      <c r="C322" s="150" t="s">
        <v>576</v>
      </c>
      <c r="D322" s="150"/>
      <c r="E322" s="150"/>
      <c r="F322" s="150"/>
      <c r="G322" s="150"/>
      <c r="H322" s="150"/>
      <c r="I322" s="150"/>
      <c r="J322" s="66" t="s">
        <v>79</v>
      </c>
      <c r="K322" s="83">
        <v>17</v>
      </c>
      <c r="L322" s="108"/>
      <c r="M322" s="84">
        <f>K322*L322</f>
        <v>0</v>
      </c>
      <c r="Z322" s="83">
        <f>IF(AQ322="5",BJ322,0)</f>
        <v>0</v>
      </c>
      <c r="AB322" s="83">
        <f>IF(AQ322="1",BH322,0)</f>
        <v>0</v>
      </c>
      <c r="AC322" s="83">
        <f>IF(AQ322="1",BI322,0)</f>
        <v>0</v>
      </c>
      <c r="AD322" s="83">
        <f>IF(AQ322="7",BH322,0)</f>
        <v>0</v>
      </c>
      <c r="AE322" s="83">
        <f>IF(AQ322="7",BI322,0)</f>
        <v>0</v>
      </c>
      <c r="AF322" s="83">
        <f>IF(AQ322="2",BH322,0)</f>
        <v>0</v>
      </c>
      <c r="AG322" s="83">
        <f>IF(AQ322="2",BI322,0)</f>
        <v>0</v>
      </c>
      <c r="AH322" s="83">
        <f>IF(AQ322="0",BJ322,0)</f>
        <v>0</v>
      </c>
      <c r="AI322" s="72" t="s">
        <v>49</v>
      </c>
      <c r="AJ322" s="83">
        <f>IF(AN322=0,M322,0)</f>
        <v>0</v>
      </c>
      <c r="AK322" s="83">
        <f>IF(AN322=15,M322,0)</f>
        <v>0</v>
      </c>
      <c r="AL322" s="83">
        <f>IF(AN322=21,M322,0)</f>
        <v>0</v>
      </c>
      <c r="AN322" s="83">
        <v>21</v>
      </c>
      <c r="AO322" s="83">
        <f>L322*0.594883985932926</f>
        <v>0</v>
      </c>
      <c r="AP322" s="83">
        <f>L322*(1-0.594883985932926)</f>
        <v>0</v>
      </c>
      <c r="AQ322" s="85" t="s">
        <v>52</v>
      </c>
      <c r="AV322" s="83">
        <f>AW322+AX322</f>
        <v>0</v>
      </c>
      <c r="AW322" s="83">
        <f>K322*AO322</f>
        <v>0</v>
      </c>
      <c r="AX322" s="83">
        <f>K322*AP322</f>
        <v>0</v>
      </c>
      <c r="AY322" s="85" t="s">
        <v>573</v>
      </c>
      <c r="AZ322" s="85" t="s">
        <v>510</v>
      </c>
      <c r="BA322" s="72" t="s">
        <v>58</v>
      </c>
      <c r="BC322" s="83">
        <f>AW322+AX322</f>
        <v>0</v>
      </c>
      <c r="BD322" s="83">
        <f>L322/(100-BE322)*100</f>
        <v>0</v>
      </c>
      <c r="BE322" s="83">
        <v>0</v>
      </c>
      <c r="BF322" s="83">
        <f>322</f>
        <v>322</v>
      </c>
      <c r="BH322" s="83">
        <f>K322*AO322</f>
        <v>0</v>
      </c>
      <c r="BI322" s="83">
        <f>K322*AP322</f>
        <v>0</v>
      </c>
      <c r="BJ322" s="83">
        <f>K322*L322</f>
        <v>0</v>
      </c>
      <c r="BK322" s="83"/>
      <c r="BL322" s="83">
        <v>57</v>
      </c>
    </row>
    <row r="323" spans="1:13" ht="15" customHeight="1">
      <c r="A323" s="86"/>
      <c r="C323" s="87" t="s">
        <v>156</v>
      </c>
      <c r="I323" s="87" t="s">
        <v>524</v>
      </c>
      <c r="K323" s="88">
        <v>17</v>
      </c>
      <c r="M323" s="89"/>
    </row>
    <row r="324" spans="1:47" ht="15" customHeight="1">
      <c r="A324" s="78" t="s">
        <v>49</v>
      </c>
      <c r="B324" s="79" t="s">
        <v>380</v>
      </c>
      <c r="C324" s="168" t="s">
        <v>577</v>
      </c>
      <c r="D324" s="168"/>
      <c r="E324" s="168"/>
      <c r="F324" s="168"/>
      <c r="G324" s="168"/>
      <c r="H324" s="168"/>
      <c r="I324" s="168"/>
      <c r="J324" s="80" t="s">
        <v>3</v>
      </c>
      <c r="K324" s="80" t="s">
        <v>3</v>
      </c>
      <c r="L324" s="80" t="s">
        <v>3</v>
      </c>
      <c r="M324" s="81">
        <f>SUM(M325:M421)</f>
        <v>0</v>
      </c>
      <c r="AI324" s="72" t="s">
        <v>49</v>
      </c>
      <c r="AS324" s="82">
        <f>SUM(AJ325:AJ421)</f>
        <v>0</v>
      </c>
      <c r="AT324" s="82">
        <f>SUM(AK325:AK421)</f>
        <v>0</v>
      </c>
      <c r="AU324" s="82">
        <f>SUM(AL325:AL421)</f>
        <v>0</v>
      </c>
    </row>
    <row r="325" spans="1:64" ht="15" customHeight="1">
      <c r="A325" s="65" t="s">
        <v>145</v>
      </c>
      <c r="B325" s="66" t="s">
        <v>579</v>
      </c>
      <c r="C325" s="150" t="s">
        <v>580</v>
      </c>
      <c r="D325" s="150"/>
      <c r="E325" s="150"/>
      <c r="F325" s="150"/>
      <c r="G325" s="150"/>
      <c r="H325" s="150"/>
      <c r="I325" s="150"/>
      <c r="J325" s="66" t="s">
        <v>79</v>
      </c>
      <c r="K325" s="83">
        <v>617.541</v>
      </c>
      <c r="L325" s="108"/>
      <c r="M325" s="84">
        <f>K325*L325</f>
        <v>0</v>
      </c>
      <c r="Z325" s="83">
        <f>IF(AQ325="5",BJ325,0)</f>
        <v>0</v>
      </c>
      <c r="AB325" s="83">
        <f>IF(AQ325="1",BH325,0)</f>
        <v>0</v>
      </c>
      <c r="AC325" s="83">
        <f>IF(AQ325="1",BI325,0)</f>
        <v>0</v>
      </c>
      <c r="AD325" s="83">
        <f>IF(AQ325="7",BH325,0)</f>
        <v>0</v>
      </c>
      <c r="AE325" s="83">
        <f>IF(AQ325="7",BI325,0)</f>
        <v>0</v>
      </c>
      <c r="AF325" s="83">
        <f>IF(AQ325="2",BH325,0)</f>
        <v>0</v>
      </c>
      <c r="AG325" s="83">
        <f>IF(AQ325="2",BI325,0)</f>
        <v>0</v>
      </c>
      <c r="AH325" s="83">
        <f>IF(AQ325="0",BJ325,0)</f>
        <v>0</v>
      </c>
      <c r="AI325" s="72" t="s">
        <v>49</v>
      </c>
      <c r="AJ325" s="83">
        <f>IF(AN325=0,M325,0)</f>
        <v>0</v>
      </c>
      <c r="AK325" s="83">
        <f>IF(AN325=15,M325,0)</f>
        <v>0</v>
      </c>
      <c r="AL325" s="83">
        <f>IF(AN325=21,M325,0)</f>
        <v>0</v>
      </c>
      <c r="AN325" s="83">
        <v>21</v>
      </c>
      <c r="AO325" s="83">
        <f>L325*0.0988629288476364</f>
        <v>0</v>
      </c>
      <c r="AP325" s="83">
        <f>L325*(1-0.0988629288476364)</f>
        <v>0</v>
      </c>
      <c r="AQ325" s="85" t="s">
        <v>52</v>
      </c>
      <c r="AV325" s="83">
        <f>AW325+AX325</f>
        <v>0</v>
      </c>
      <c r="AW325" s="83">
        <f>K325*AO325</f>
        <v>0</v>
      </c>
      <c r="AX325" s="83">
        <f>K325*AP325</f>
        <v>0</v>
      </c>
      <c r="AY325" s="85" t="s">
        <v>581</v>
      </c>
      <c r="AZ325" s="85" t="s">
        <v>510</v>
      </c>
      <c r="BA325" s="72" t="s">
        <v>58</v>
      </c>
      <c r="BC325" s="83">
        <f>AW325+AX325</f>
        <v>0</v>
      </c>
      <c r="BD325" s="83">
        <f>L325/(100-BE325)*100</f>
        <v>0</v>
      </c>
      <c r="BE325" s="83">
        <v>0</v>
      </c>
      <c r="BF325" s="83">
        <f>325</f>
        <v>325</v>
      </c>
      <c r="BH325" s="83">
        <f>K325*AO325</f>
        <v>0</v>
      </c>
      <c r="BI325" s="83">
        <f>K325*AP325</f>
        <v>0</v>
      </c>
      <c r="BJ325" s="83">
        <f>K325*L325</f>
        <v>0</v>
      </c>
      <c r="BK325" s="83"/>
      <c r="BL325" s="83">
        <v>59</v>
      </c>
    </row>
    <row r="326" spans="1:13" ht="15" customHeight="1">
      <c r="A326" s="86"/>
      <c r="C326" s="87" t="s">
        <v>582</v>
      </c>
      <c r="I326" s="87" t="s">
        <v>583</v>
      </c>
      <c r="K326" s="88">
        <v>979.0000000000001</v>
      </c>
      <c r="M326" s="89"/>
    </row>
    <row r="327" spans="1:13" ht="15" customHeight="1">
      <c r="A327" s="86"/>
      <c r="C327" s="87" t="s">
        <v>461</v>
      </c>
      <c r="I327" s="87" t="s">
        <v>532</v>
      </c>
      <c r="K327" s="88">
        <v>73</v>
      </c>
      <c r="M327" s="89"/>
    </row>
    <row r="328" spans="1:13" ht="15" customHeight="1">
      <c r="A328" s="86"/>
      <c r="C328" s="87" t="s">
        <v>584</v>
      </c>
      <c r="I328" s="87" t="s">
        <v>88</v>
      </c>
      <c r="K328" s="88">
        <v>-263.029</v>
      </c>
      <c r="M328" s="89"/>
    </row>
    <row r="329" spans="1:13" ht="15" customHeight="1">
      <c r="A329" s="86"/>
      <c r="C329" s="87" t="s">
        <v>585</v>
      </c>
      <c r="I329" s="87" t="s">
        <v>90</v>
      </c>
      <c r="K329" s="88">
        <v>-171.43</v>
      </c>
      <c r="M329" s="89"/>
    </row>
    <row r="330" spans="1:13" ht="27" customHeight="1">
      <c r="A330" s="86"/>
      <c r="B330" s="90" t="s">
        <v>60</v>
      </c>
      <c r="C330" s="161" t="s">
        <v>586</v>
      </c>
      <c r="D330" s="162"/>
      <c r="E330" s="162"/>
      <c r="F330" s="162"/>
      <c r="G330" s="162"/>
      <c r="H330" s="162"/>
      <c r="I330" s="162"/>
      <c r="J330" s="162"/>
      <c r="K330" s="162"/>
      <c r="L330" s="162"/>
      <c r="M330" s="163"/>
    </row>
    <row r="331" spans="1:64" ht="15" customHeight="1">
      <c r="A331" s="65" t="s">
        <v>574</v>
      </c>
      <c r="B331" s="66" t="s">
        <v>587</v>
      </c>
      <c r="C331" s="150" t="s">
        <v>588</v>
      </c>
      <c r="D331" s="150"/>
      <c r="E331" s="150"/>
      <c r="F331" s="150"/>
      <c r="G331" s="150"/>
      <c r="H331" s="150"/>
      <c r="I331" s="150"/>
      <c r="J331" s="66" t="s">
        <v>79</v>
      </c>
      <c r="K331" s="83">
        <v>38.72756</v>
      </c>
      <c r="L331" s="108"/>
      <c r="M331" s="84">
        <f>K331*L331</f>
        <v>0</v>
      </c>
      <c r="Z331" s="83">
        <f>IF(AQ331="5",BJ331,0)</f>
        <v>0</v>
      </c>
      <c r="AB331" s="83">
        <f>IF(AQ331="1",BH331,0)</f>
        <v>0</v>
      </c>
      <c r="AC331" s="83">
        <f>IF(AQ331="1",BI331,0)</f>
        <v>0</v>
      </c>
      <c r="AD331" s="83">
        <f>IF(AQ331="7",BH331,0)</f>
        <v>0</v>
      </c>
      <c r="AE331" s="83">
        <f>IF(AQ331="7",BI331,0)</f>
        <v>0</v>
      </c>
      <c r="AF331" s="83">
        <f>IF(AQ331="2",BH331,0)</f>
        <v>0</v>
      </c>
      <c r="AG331" s="83">
        <f>IF(AQ331="2",BI331,0)</f>
        <v>0</v>
      </c>
      <c r="AH331" s="83">
        <f>IF(AQ331="0",BJ331,0)</f>
        <v>0</v>
      </c>
      <c r="AI331" s="72" t="s">
        <v>49</v>
      </c>
      <c r="AJ331" s="83">
        <f>IF(AN331=0,M331,0)</f>
        <v>0</v>
      </c>
      <c r="AK331" s="83">
        <f>IF(AN331=15,M331,0)</f>
        <v>0</v>
      </c>
      <c r="AL331" s="83">
        <f>IF(AN331=21,M331,0)</f>
        <v>0</v>
      </c>
      <c r="AN331" s="83">
        <v>21</v>
      </c>
      <c r="AO331" s="83">
        <f>L331*1</f>
        <v>0</v>
      </c>
      <c r="AP331" s="83">
        <f>L331*(1-1)</f>
        <v>0</v>
      </c>
      <c r="AQ331" s="85" t="s">
        <v>52</v>
      </c>
      <c r="AV331" s="83">
        <f>AW331+AX331</f>
        <v>0</v>
      </c>
      <c r="AW331" s="83">
        <f>K331*AO331</f>
        <v>0</v>
      </c>
      <c r="AX331" s="83">
        <f>K331*AP331</f>
        <v>0</v>
      </c>
      <c r="AY331" s="85" t="s">
        <v>581</v>
      </c>
      <c r="AZ331" s="85" t="s">
        <v>510</v>
      </c>
      <c r="BA331" s="72" t="s">
        <v>58</v>
      </c>
      <c r="BC331" s="83">
        <f>AW331+AX331</f>
        <v>0</v>
      </c>
      <c r="BD331" s="83">
        <f>L331/(100-BE331)*100</f>
        <v>0</v>
      </c>
      <c r="BE331" s="83">
        <v>0</v>
      </c>
      <c r="BF331" s="83">
        <f>331</f>
        <v>331</v>
      </c>
      <c r="BH331" s="83">
        <f>K331*AO331</f>
        <v>0</v>
      </c>
      <c r="BI331" s="83">
        <f>K331*AP331</f>
        <v>0</v>
      </c>
      <c r="BJ331" s="83">
        <f>K331*L331</f>
        <v>0</v>
      </c>
      <c r="BK331" s="83"/>
      <c r="BL331" s="83">
        <v>59</v>
      </c>
    </row>
    <row r="332" spans="1:13" ht="15" customHeight="1">
      <c r="A332" s="86"/>
      <c r="C332" s="87" t="s">
        <v>589</v>
      </c>
      <c r="I332" s="87" t="s">
        <v>127</v>
      </c>
      <c r="K332" s="88">
        <v>1049.8000000000002</v>
      </c>
      <c r="M332" s="89"/>
    </row>
    <row r="333" spans="1:13" ht="15" customHeight="1">
      <c r="A333" s="86"/>
      <c r="C333" s="87" t="s">
        <v>590</v>
      </c>
      <c r="I333" s="87" t="s">
        <v>591</v>
      </c>
      <c r="K333" s="88">
        <v>8</v>
      </c>
      <c r="M333" s="89"/>
    </row>
    <row r="334" spans="1:13" ht="15" customHeight="1">
      <c r="A334" s="86"/>
      <c r="C334" s="87" t="s">
        <v>592</v>
      </c>
      <c r="I334" s="87" t="s">
        <v>593</v>
      </c>
      <c r="K334" s="88">
        <v>-585.3728000000001</v>
      </c>
      <c r="M334" s="89"/>
    </row>
    <row r="335" spans="1:13" ht="15" customHeight="1">
      <c r="A335" s="86"/>
      <c r="C335" s="87" t="s">
        <v>584</v>
      </c>
      <c r="I335" s="87" t="s">
        <v>88</v>
      </c>
      <c r="K335" s="88">
        <v>-263.029</v>
      </c>
      <c r="M335" s="89"/>
    </row>
    <row r="336" spans="1:13" ht="15" customHeight="1">
      <c r="A336" s="86"/>
      <c r="C336" s="87" t="s">
        <v>585</v>
      </c>
      <c r="I336" s="87" t="s">
        <v>90</v>
      </c>
      <c r="K336" s="88">
        <v>-171.43</v>
      </c>
      <c r="M336" s="89"/>
    </row>
    <row r="337" spans="1:13" ht="15" customHeight="1">
      <c r="A337" s="86"/>
      <c r="C337" s="87" t="s">
        <v>594</v>
      </c>
      <c r="I337" s="87" t="s">
        <v>49</v>
      </c>
      <c r="K337" s="88">
        <v>0.75936</v>
      </c>
      <c r="M337" s="89"/>
    </row>
    <row r="338" spans="1:64" ht="15" customHeight="1">
      <c r="A338" s="65" t="s">
        <v>578</v>
      </c>
      <c r="B338" s="66" t="s">
        <v>595</v>
      </c>
      <c r="C338" s="150" t="s">
        <v>596</v>
      </c>
      <c r="D338" s="150"/>
      <c r="E338" s="150"/>
      <c r="F338" s="150"/>
      <c r="G338" s="150"/>
      <c r="H338" s="150"/>
      <c r="I338" s="150"/>
      <c r="J338" s="66" t="s">
        <v>79</v>
      </c>
      <c r="K338" s="83">
        <v>225.853</v>
      </c>
      <c r="L338" s="108"/>
      <c r="M338" s="84">
        <f>K338*L338</f>
        <v>0</v>
      </c>
      <c r="Z338" s="83">
        <f>IF(AQ338="5",BJ338,0)</f>
        <v>0</v>
      </c>
      <c r="AB338" s="83">
        <f>IF(AQ338="1",BH338,0)</f>
        <v>0</v>
      </c>
      <c r="AC338" s="83">
        <f>IF(AQ338="1",BI338,0)</f>
        <v>0</v>
      </c>
      <c r="AD338" s="83">
        <f>IF(AQ338="7",BH338,0)</f>
        <v>0</v>
      </c>
      <c r="AE338" s="83">
        <f>IF(AQ338="7",BI338,0)</f>
        <v>0</v>
      </c>
      <c r="AF338" s="83">
        <f>IF(AQ338="2",BH338,0)</f>
        <v>0</v>
      </c>
      <c r="AG338" s="83">
        <f>IF(AQ338="2",BI338,0)</f>
        <v>0</v>
      </c>
      <c r="AH338" s="83">
        <f>IF(AQ338="0",BJ338,0)</f>
        <v>0</v>
      </c>
      <c r="AI338" s="72" t="s">
        <v>49</v>
      </c>
      <c r="AJ338" s="83">
        <f>IF(AN338=0,M338,0)</f>
        <v>0</v>
      </c>
      <c r="AK338" s="83">
        <f>IF(AN338=15,M338,0)</f>
        <v>0</v>
      </c>
      <c r="AL338" s="83">
        <f>IF(AN338=21,M338,0)</f>
        <v>0</v>
      </c>
      <c r="AN338" s="83">
        <v>21</v>
      </c>
      <c r="AO338" s="83">
        <f>L338*0.0623418779826619</f>
        <v>0</v>
      </c>
      <c r="AP338" s="83">
        <f>L338*(1-0.0623418779826619)</f>
        <v>0</v>
      </c>
      <c r="AQ338" s="85" t="s">
        <v>52</v>
      </c>
      <c r="AV338" s="83">
        <f>AW338+AX338</f>
        <v>0</v>
      </c>
      <c r="AW338" s="83">
        <f>K338*AO338</f>
        <v>0</v>
      </c>
      <c r="AX338" s="83">
        <f>K338*AP338</f>
        <v>0</v>
      </c>
      <c r="AY338" s="85" t="s">
        <v>581</v>
      </c>
      <c r="AZ338" s="85" t="s">
        <v>510</v>
      </c>
      <c r="BA338" s="72" t="s">
        <v>58</v>
      </c>
      <c r="BC338" s="83">
        <f>AW338+AX338</f>
        <v>0</v>
      </c>
      <c r="BD338" s="83">
        <f>L338/(100-BE338)*100</f>
        <v>0</v>
      </c>
      <c r="BE338" s="83">
        <v>0</v>
      </c>
      <c r="BF338" s="83">
        <f>338</f>
        <v>338</v>
      </c>
      <c r="BH338" s="83">
        <f>K338*AO338</f>
        <v>0</v>
      </c>
      <c r="BI338" s="83">
        <f>K338*AP338</f>
        <v>0</v>
      </c>
      <c r="BJ338" s="83">
        <f>K338*L338</f>
        <v>0</v>
      </c>
      <c r="BK338" s="83"/>
      <c r="BL338" s="83">
        <v>59</v>
      </c>
    </row>
    <row r="339" spans="1:13" ht="15" customHeight="1">
      <c r="A339" s="86"/>
      <c r="C339" s="87" t="s">
        <v>85</v>
      </c>
      <c r="I339" s="87" t="s">
        <v>597</v>
      </c>
      <c r="K339" s="88">
        <v>532</v>
      </c>
      <c r="M339" s="89"/>
    </row>
    <row r="340" spans="1:13" ht="15" customHeight="1">
      <c r="A340" s="86"/>
      <c r="C340" s="87" t="s">
        <v>598</v>
      </c>
      <c r="I340" s="87" t="s">
        <v>49</v>
      </c>
      <c r="K340" s="88">
        <v>-28.750000000000004</v>
      </c>
      <c r="M340" s="89"/>
    </row>
    <row r="341" spans="1:13" ht="15" customHeight="1">
      <c r="A341" s="86"/>
      <c r="C341" s="87" t="s">
        <v>599</v>
      </c>
      <c r="I341" s="87" t="s">
        <v>49</v>
      </c>
      <c r="K341" s="88">
        <v>-15.8</v>
      </c>
      <c r="M341" s="89"/>
    </row>
    <row r="342" spans="1:13" ht="15" customHeight="1">
      <c r="A342" s="86"/>
      <c r="C342" s="87" t="s">
        <v>600</v>
      </c>
      <c r="I342" s="87" t="s">
        <v>49</v>
      </c>
      <c r="K342" s="88">
        <v>-0.7000000000000001</v>
      </c>
      <c r="M342" s="89"/>
    </row>
    <row r="343" spans="1:13" ht="15" customHeight="1">
      <c r="A343" s="86"/>
      <c r="C343" s="87" t="s">
        <v>601</v>
      </c>
      <c r="I343" s="87" t="s">
        <v>88</v>
      </c>
      <c r="K343" s="88">
        <v>-159.56</v>
      </c>
      <c r="M343" s="89"/>
    </row>
    <row r="344" spans="1:13" ht="15" customHeight="1">
      <c r="A344" s="86"/>
      <c r="C344" s="87" t="s">
        <v>602</v>
      </c>
      <c r="I344" s="87" t="s">
        <v>90</v>
      </c>
      <c r="K344" s="88">
        <v>-101.337</v>
      </c>
      <c r="M344" s="89"/>
    </row>
    <row r="345" spans="1:13" ht="27" customHeight="1">
      <c r="A345" s="86"/>
      <c r="B345" s="90" t="s">
        <v>60</v>
      </c>
      <c r="C345" s="161" t="s">
        <v>603</v>
      </c>
      <c r="D345" s="162"/>
      <c r="E345" s="162"/>
      <c r="F345" s="162"/>
      <c r="G345" s="162"/>
      <c r="H345" s="162"/>
      <c r="I345" s="162"/>
      <c r="J345" s="162"/>
      <c r="K345" s="162"/>
      <c r="L345" s="162"/>
      <c r="M345" s="163"/>
    </row>
    <row r="346" spans="1:64" ht="15" customHeight="1">
      <c r="A346" s="65" t="s">
        <v>95</v>
      </c>
      <c r="B346" s="66" t="s">
        <v>605</v>
      </c>
      <c r="C346" s="150" t="s">
        <v>606</v>
      </c>
      <c r="D346" s="150"/>
      <c r="E346" s="150"/>
      <c r="F346" s="150"/>
      <c r="G346" s="150"/>
      <c r="H346" s="150"/>
      <c r="I346" s="150"/>
      <c r="J346" s="66" t="s">
        <v>79</v>
      </c>
      <c r="K346" s="83">
        <v>532</v>
      </c>
      <c r="L346" s="108"/>
      <c r="M346" s="84">
        <f>K346*L346</f>
        <v>0</v>
      </c>
      <c r="Z346" s="83">
        <f>IF(AQ346="5",BJ346,0)</f>
        <v>0</v>
      </c>
      <c r="AB346" s="83">
        <f>IF(AQ346="1",BH346,0)</f>
        <v>0</v>
      </c>
      <c r="AC346" s="83">
        <f>IF(AQ346="1",BI346,0)</f>
        <v>0</v>
      </c>
      <c r="AD346" s="83">
        <f>IF(AQ346="7",BH346,0)</f>
        <v>0</v>
      </c>
      <c r="AE346" s="83">
        <f>IF(AQ346="7",BI346,0)</f>
        <v>0</v>
      </c>
      <c r="AF346" s="83">
        <f>IF(AQ346="2",BH346,0)</f>
        <v>0</v>
      </c>
      <c r="AG346" s="83">
        <f>IF(AQ346="2",BI346,0)</f>
        <v>0</v>
      </c>
      <c r="AH346" s="83">
        <f>IF(AQ346="0",BJ346,0)</f>
        <v>0</v>
      </c>
      <c r="AI346" s="72" t="s">
        <v>49</v>
      </c>
      <c r="AJ346" s="83">
        <f>IF(AN346=0,M346,0)</f>
        <v>0</v>
      </c>
      <c r="AK346" s="83">
        <f>IF(AN346=15,M346,0)</f>
        <v>0</v>
      </c>
      <c r="AL346" s="83">
        <f>IF(AN346=21,M346,0)</f>
        <v>0</v>
      </c>
      <c r="AN346" s="83">
        <v>21</v>
      </c>
      <c r="AO346" s="83">
        <f>L346*0.544075235109718</f>
        <v>0</v>
      </c>
      <c r="AP346" s="83">
        <f>L346*(1-0.544075235109718)</f>
        <v>0</v>
      </c>
      <c r="AQ346" s="85" t="s">
        <v>52</v>
      </c>
      <c r="AV346" s="83">
        <f>AW346+AX346</f>
        <v>0</v>
      </c>
      <c r="AW346" s="83">
        <f>K346*AO346</f>
        <v>0</v>
      </c>
      <c r="AX346" s="83">
        <f>K346*AP346</f>
        <v>0</v>
      </c>
      <c r="AY346" s="85" t="s">
        <v>581</v>
      </c>
      <c r="AZ346" s="85" t="s">
        <v>510</v>
      </c>
      <c r="BA346" s="72" t="s">
        <v>58</v>
      </c>
      <c r="BC346" s="83">
        <f>AW346+AX346</f>
        <v>0</v>
      </c>
      <c r="BD346" s="83">
        <f>L346/(100-BE346)*100</f>
        <v>0</v>
      </c>
      <c r="BE346" s="83">
        <v>0</v>
      </c>
      <c r="BF346" s="83">
        <f>346</f>
        <v>346</v>
      </c>
      <c r="BH346" s="83">
        <f>K346*AO346</f>
        <v>0</v>
      </c>
      <c r="BI346" s="83">
        <f>K346*AP346</f>
        <v>0</v>
      </c>
      <c r="BJ346" s="83">
        <f>K346*L346</f>
        <v>0</v>
      </c>
      <c r="BK346" s="83"/>
      <c r="BL346" s="83">
        <v>59</v>
      </c>
    </row>
    <row r="347" spans="1:13" ht="15" customHeight="1">
      <c r="A347" s="86"/>
      <c r="C347" s="87" t="s">
        <v>85</v>
      </c>
      <c r="I347" s="87" t="s">
        <v>49</v>
      </c>
      <c r="K347" s="88">
        <v>532</v>
      </c>
      <c r="M347" s="89"/>
    </row>
    <row r="348" spans="1:64" ht="15" customHeight="1">
      <c r="A348" s="65" t="s">
        <v>128</v>
      </c>
      <c r="B348" s="66" t="s">
        <v>608</v>
      </c>
      <c r="C348" s="150" t="s">
        <v>609</v>
      </c>
      <c r="D348" s="150"/>
      <c r="E348" s="150"/>
      <c r="F348" s="150"/>
      <c r="G348" s="150"/>
      <c r="H348" s="150"/>
      <c r="I348" s="150"/>
      <c r="J348" s="66" t="s">
        <v>55</v>
      </c>
      <c r="K348" s="83">
        <v>3</v>
      </c>
      <c r="L348" s="108"/>
      <c r="M348" s="84">
        <f>K348*L348</f>
        <v>0</v>
      </c>
      <c r="Z348" s="83">
        <f>IF(AQ348="5",BJ348,0)</f>
        <v>0</v>
      </c>
      <c r="AB348" s="83">
        <f>IF(AQ348="1",BH348,0)</f>
        <v>0</v>
      </c>
      <c r="AC348" s="83">
        <f>IF(AQ348="1",BI348,0)</f>
        <v>0</v>
      </c>
      <c r="AD348" s="83">
        <f>IF(AQ348="7",BH348,0)</f>
        <v>0</v>
      </c>
      <c r="AE348" s="83">
        <f>IF(AQ348="7",BI348,0)</f>
        <v>0</v>
      </c>
      <c r="AF348" s="83">
        <f>IF(AQ348="2",BH348,0)</f>
        <v>0</v>
      </c>
      <c r="AG348" s="83">
        <f>IF(AQ348="2",BI348,0)</f>
        <v>0</v>
      </c>
      <c r="AH348" s="83">
        <f>IF(AQ348="0",BJ348,0)</f>
        <v>0</v>
      </c>
      <c r="AI348" s="72" t="s">
        <v>49</v>
      </c>
      <c r="AJ348" s="83">
        <f>IF(AN348=0,M348,0)</f>
        <v>0</v>
      </c>
      <c r="AK348" s="83">
        <f>IF(AN348=15,M348,0)</f>
        <v>0</v>
      </c>
      <c r="AL348" s="83">
        <f>IF(AN348=21,M348,0)</f>
        <v>0</v>
      </c>
      <c r="AN348" s="83">
        <v>21</v>
      </c>
      <c r="AO348" s="83">
        <f>L348*0.317913669064748</f>
        <v>0</v>
      </c>
      <c r="AP348" s="83">
        <f>L348*(1-0.317913669064748)</f>
        <v>0</v>
      </c>
      <c r="AQ348" s="85" t="s">
        <v>52</v>
      </c>
      <c r="AV348" s="83">
        <f>AW348+AX348</f>
        <v>0</v>
      </c>
      <c r="AW348" s="83">
        <f>K348*AO348</f>
        <v>0</v>
      </c>
      <c r="AX348" s="83">
        <f>K348*AP348</f>
        <v>0</v>
      </c>
      <c r="AY348" s="85" t="s">
        <v>581</v>
      </c>
      <c r="AZ348" s="85" t="s">
        <v>510</v>
      </c>
      <c r="BA348" s="72" t="s">
        <v>58</v>
      </c>
      <c r="BC348" s="83">
        <f>AW348+AX348</f>
        <v>0</v>
      </c>
      <c r="BD348" s="83">
        <f>L348/(100-BE348)*100</f>
        <v>0</v>
      </c>
      <c r="BE348" s="83">
        <v>0</v>
      </c>
      <c r="BF348" s="83">
        <f>348</f>
        <v>348</v>
      </c>
      <c r="BH348" s="83">
        <f>K348*AO348</f>
        <v>0</v>
      </c>
      <c r="BI348" s="83">
        <f>K348*AP348</f>
        <v>0</v>
      </c>
      <c r="BJ348" s="83">
        <f>K348*L348</f>
        <v>0</v>
      </c>
      <c r="BK348" s="83"/>
      <c r="BL348" s="83">
        <v>59</v>
      </c>
    </row>
    <row r="349" spans="1:13" ht="15" customHeight="1">
      <c r="A349" s="86"/>
      <c r="C349" s="87" t="s">
        <v>65</v>
      </c>
      <c r="I349" s="87" t="s">
        <v>49</v>
      </c>
      <c r="K349" s="88">
        <v>3.0000000000000004</v>
      </c>
      <c r="M349" s="89"/>
    </row>
    <row r="350" spans="1:13" ht="40.5" customHeight="1">
      <c r="A350" s="86"/>
      <c r="B350" s="90" t="s">
        <v>60</v>
      </c>
      <c r="C350" s="161" t="s">
        <v>610</v>
      </c>
      <c r="D350" s="162"/>
      <c r="E350" s="162"/>
      <c r="F350" s="162"/>
      <c r="G350" s="162"/>
      <c r="H350" s="162"/>
      <c r="I350" s="162"/>
      <c r="J350" s="162"/>
      <c r="K350" s="162"/>
      <c r="L350" s="162"/>
      <c r="M350" s="163"/>
    </row>
    <row r="351" spans="1:64" ht="15" customHeight="1">
      <c r="A351" s="65" t="s">
        <v>604</v>
      </c>
      <c r="B351" s="66" t="s">
        <v>612</v>
      </c>
      <c r="C351" s="150" t="s">
        <v>613</v>
      </c>
      <c r="D351" s="150"/>
      <c r="E351" s="150"/>
      <c r="F351" s="150"/>
      <c r="G351" s="150"/>
      <c r="H351" s="150"/>
      <c r="I351" s="150"/>
      <c r="J351" s="66" t="s">
        <v>55</v>
      </c>
      <c r="K351" s="83">
        <v>3</v>
      </c>
      <c r="L351" s="108"/>
      <c r="M351" s="84">
        <f>K351*L351</f>
        <v>0</v>
      </c>
      <c r="Z351" s="83">
        <f>IF(AQ351="5",BJ351,0)</f>
        <v>0</v>
      </c>
      <c r="AB351" s="83">
        <f>IF(AQ351="1",BH351,0)</f>
        <v>0</v>
      </c>
      <c r="AC351" s="83">
        <f>IF(AQ351="1",BI351,0)</f>
        <v>0</v>
      </c>
      <c r="AD351" s="83">
        <f>IF(AQ351="7",BH351,0)</f>
        <v>0</v>
      </c>
      <c r="AE351" s="83">
        <f>IF(AQ351="7",BI351,0)</f>
        <v>0</v>
      </c>
      <c r="AF351" s="83">
        <f>IF(AQ351="2",BH351,0)</f>
        <v>0</v>
      </c>
      <c r="AG351" s="83">
        <f>IF(AQ351="2",BI351,0)</f>
        <v>0</v>
      </c>
      <c r="AH351" s="83">
        <f>IF(AQ351="0",BJ351,0)</f>
        <v>0</v>
      </c>
      <c r="AI351" s="72" t="s">
        <v>49</v>
      </c>
      <c r="AJ351" s="83">
        <f>IF(AN351=0,M351,0)</f>
        <v>0</v>
      </c>
      <c r="AK351" s="83">
        <f>IF(AN351=15,M351,0)</f>
        <v>0</v>
      </c>
      <c r="AL351" s="83">
        <f>IF(AN351=21,M351,0)</f>
        <v>0</v>
      </c>
      <c r="AN351" s="83">
        <v>21</v>
      </c>
      <c r="AO351" s="83">
        <f>L351*1</f>
        <v>0</v>
      </c>
      <c r="AP351" s="83">
        <f>L351*(1-1)</f>
        <v>0</v>
      </c>
      <c r="AQ351" s="85" t="s">
        <v>52</v>
      </c>
      <c r="AV351" s="83">
        <f>AW351+AX351</f>
        <v>0</v>
      </c>
      <c r="AW351" s="83">
        <f>K351*AO351</f>
        <v>0</v>
      </c>
      <c r="AX351" s="83">
        <f>K351*AP351</f>
        <v>0</v>
      </c>
      <c r="AY351" s="85" t="s">
        <v>581</v>
      </c>
      <c r="AZ351" s="85" t="s">
        <v>510</v>
      </c>
      <c r="BA351" s="72" t="s">
        <v>58</v>
      </c>
      <c r="BC351" s="83">
        <f>AW351+AX351</f>
        <v>0</v>
      </c>
      <c r="BD351" s="83">
        <f>L351/(100-BE351)*100</f>
        <v>0</v>
      </c>
      <c r="BE351" s="83">
        <v>0</v>
      </c>
      <c r="BF351" s="83">
        <f>351</f>
        <v>351</v>
      </c>
      <c r="BH351" s="83">
        <f>K351*AO351</f>
        <v>0</v>
      </c>
      <c r="BI351" s="83">
        <f>K351*AP351</f>
        <v>0</v>
      </c>
      <c r="BJ351" s="83">
        <f>K351*L351</f>
        <v>0</v>
      </c>
      <c r="BK351" s="83"/>
      <c r="BL351" s="83">
        <v>59</v>
      </c>
    </row>
    <row r="352" spans="1:13" ht="15" customHeight="1">
      <c r="A352" s="86"/>
      <c r="C352" s="87" t="s">
        <v>65</v>
      </c>
      <c r="I352" s="87" t="s">
        <v>49</v>
      </c>
      <c r="K352" s="88">
        <v>3.0000000000000004</v>
      </c>
      <c r="M352" s="89"/>
    </row>
    <row r="353" spans="1:13" ht="13.5" customHeight="1">
      <c r="A353" s="86"/>
      <c r="B353" s="90" t="s">
        <v>60</v>
      </c>
      <c r="C353" s="161" t="s">
        <v>614</v>
      </c>
      <c r="D353" s="162"/>
      <c r="E353" s="162"/>
      <c r="F353" s="162"/>
      <c r="G353" s="162"/>
      <c r="H353" s="162"/>
      <c r="I353" s="162"/>
      <c r="J353" s="162"/>
      <c r="K353" s="162"/>
      <c r="L353" s="162"/>
      <c r="M353" s="163"/>
    </row>
    <row r="354" spans="1:64" ht="15" customHeight="1">
      <c r="A354" s="65" t="s">
        <v>607</v>
      </c>
      <c r="B354" s="66" t="s">
        <v>616</v>
      </c>
      <c r="C354" s="150" t="s">
        <v>617</v>
      </c>
      <c r="D354" s="150"/>
      <c r="E354" s="150"/>
      <c r="F354" s="150"/>
      <c r="G354" s="150"/>
      <c r="H354" s="150"/>
      <c r="I354" s="150"/>
      <c r="J354" s="66" t="s">
        <v>55</v>
      </c>
      <c r="K354" s="83">
        <v>3</v>
      </c>
      <c r="L354" s="108"/>
      <c r="M354" s="84">
        <f>K354*L354</f>
        <v>0</v>
      </c>
      <c r="Z354" s="83">
        <f>IF(AQ354="5",BJ354,0)</f>
        <v>0</v>
      </c>
      <c r="AB354" s="83">
        <f>IF(AQ354="1",BH354,0)</f>
        <v>0</v>
      </c>
      <c r="AC354" s="83">
        <f>IF(AQ354="1",BI354,0)</f>
        <v>0</v>
      </c>
      <c r="AD354" s="83">
        <f>IF(AQ354="7",BH354,0)</f>
        <v>0</v>
      </c>
      <c r="AE354" s="83">
        <f>IF(AQ354="7",BI354,0)</f>
        <v>0</v>
      </c>
      <c r="AF354" s="83">
        <f>IF(AQ354="2",BH354,0)</f>
        <v>0</v>
      </c>
      <c r="AG354" s="83">
        <f>IF(AQ354="2",BI354,0)</f>
        <v>0</v>
      </c>
      <c r="AH354" s="83">
        <f>IF(AQ354="0",BJ354,0)</f>
        <v>0</v>
      </c>
      <c r="AI354" s="72" t="s">
        <v>49</v>
      </c>
      <c r="AJ354" s="83">
        <f>IF(AN354=0,M354,0)</f>
        <v>0</v>
      </c>
      <c r="AK354" s="83">
        <f>IF(AN354=15,M354,0)</f>
        <v>0</v>
      </c>
      <c r="AL354" s="83">
        <f>IF(AN354=21,M354,0)</f>
        <v>0</v>
      </c>
      <c r="AN354" s="83">
        <v>21</v>
      </c>
      <c r="AO354" s="83">
        <f>L354*0.985993543856593</f>
        <v>0</v>
      </c>
      <c r="AP354" s="83">
        <f>L354*(1-0.985993543856593)</f>
        <v>0</v>
      </c>
      <c r="AQ354" s="85" t="s">
        <v>52</v>
      </c>
      <c r="AV354" s="83">
        <f>AW354+AX354</f>
        <v>0</v>
      </c>
      <c r="AW354" s="83">
        <f>K354*AO354</f>
        <v>0</v>
      </c>
      <c r="AX354" s="83">
        <f>K354*AP354</f>
        <v>0</v>
      </c>
      <c r="AY354" s="85" t="s">
        <v>581</v>
      </c>
      <c r="AZ354" s="85" t="s">
        <v>510</v>
      </c>
      <c r="BA354" s="72" t="s">
        <v>58</v>
      </c>
      <c r="BC354" s="83">
        <f>AW354+AX354</f>
        <v>0</v>
      </c>
      <c r="BD354" s="83">
        <f>L354/(100-BE354)*100</f>
        <v>0</v>
      </c>
      <c r="BE354" s="83">
        <v>0</v>
      </c>
      <c r="BF354" s="83">
        <f>354</f>
        <v>354</v>
      </c>
      <c r="BH354" s="83">
        <f>K354*AO354</f>
        <v>0</v>
      </c>
      <c r="BI354" s="83">
        <f>K354*AP354</f>
        <v>0</v>
      </c>
      <c r="BJ354" s="83">
        <f>K354*L354</f>
        <v>0</v>
      </c>
      <c r="BK354" s="83"/>
      <c r="BL354" s="83">
        <v>59</v>
      </c>
    </row>
    <row r="355" spans="1:13" ht="13.5" customHeight="1">
      <c r="A355" s="86"/>
      <c r="B355" s="90" t="s">
        <v>273</v>
      </c>
      <c r="C355" s="161" t="s">
        <v>618</v>
      </c>
      <c r="D355" s="162"/>
      <c r="E355" s="162"/>
      <c r="F355" s="162"/>
      <c r="G355" s="162"/>
      <c r="H355" s="162"/>
      <c r="I355" s="162"/>
      <c r="J355" s="162"/>
      <c r="K355" s="162"/>
      <c r="L355" s="162"/>
      <c r="M355" s="163"/>
    </row>
    <row r="356" spans="1:13" ht="15" customHeight="1">
      <c r="A356" s="86"/>
      <c r="C356" s="87" t="s">
        <v>65</v>
      </c>
      <c r="I356" s="87" t="s">
        <v>49</v>
      </c>
      <c r="K356" s="88">
        <v>3.0000000000000004</v>
      </c>
      <c r="M356" s="89"/>
    </row>
    <row r="357" spans="1:13" ht="13.5" customHeight="1">
      <c r="A357" s="86"/>
      <c r="B357" s="90" t="s">
        <v>60</v>
      </c>
      <c r="C357" s="161" t="s">
        <v>619</v>
      </c>
      <c r="D357" s="162"/>
      <c r="E357" s="162"/>
      <c r="F357" s="162"/>
      <c r="G357" s="162"/>
      <c r="H357" s="162"/>
      <c r="I357" s="162"/>
      <c r="J357" s="162"/>
      <c r="K357" s="162"/>
      <c r="L357" s="162"/>
      <c r="M357" s="163"/>
    </row>
    <row r="358" spans="1:64" ht="15" customHeight="1">
      <c r="A358" s="65" t="s">
        <v>611</v>
      </c>
      <c r="B358" s="66" t="s">
        <v>620</v>
      </c>
      <c r="C358" s="150" t="s">
        <v>621</v>
      </c>
      <c r="D358" s="150"/>
      <c r="E358" s="150"/>
      <c r="F358" s="150"/>
      <c r="G358" s="150"/>
      <c r="H358" s="150"/>
      <c r="I358" s="150"/>
      <c r="J358" s="66" t="s">
        <v>79</v>
      </c>
      <c r="K358" s="83">
        <v>475.575</v>
      </c>
      <c r="L358" s="108"/>
      <c r="M358" s="84">
        <f>K358*L358</f>
        <v>0</v>
      </c>
      <c r="Z358" s="83">
        <f>IF(AQ358="5",BJ358,0)</f>
        <v>0</v>
      </c>
      <c r="AB358" s="83">
        <f>IF(AQ358="1",BH358,0)</f>
        <v>0</v>
      </c>
      <c r="AC358" s="83">
        <f>IF(AQ358="1",BI358,0)</f>
        <v>0</v>
      </c>
      <c r="AD358" s="83">
        <f>IF(AQ358="7",BH358,0)</f>
        <v>0</v>
      </c>
      <c r="AE358" s="83">
        <f>IF(AQ358="7",BI358,0)</f>
        <v>0</v>
      </c>
      <c r="AF358" s="83">
        <f>IF(AQ358="2",BH358,0)</f>
        <v>0</v>
      </c>
      <c r="AG358" s="83">
        <f>IF(AQ358="2",BI358,0)</f>
        <v>0</v>
      </c>
      <c r="AH358" s="83">
        <f>IF(AQ358="0",BJ358,0)</f>
        <v>0</v>
      </c>
      <c r="AI358" s="72" t="s">
        <v>49</v>
      </c>
      <c r="AJ358" s="83">
        <f>IF(AN358=0,M358,0)</f>
        <v>0</v>
      </c>
      <c r="AK358" s="83">
        <f>IF(AN358=15,M358,0)</f>
        <v>0</v>
      </c>
      <c r="AL358" s="83">
        <f>IF(AN358=21,M358,0)</f>
        <v>0</v>
      </c>
      <c r="AN358" s="83">
        <v>21</v>
      </c>
      <c r="AO358" s="83">
        <f>L358*0.144602649006623</f>
        <v>0</v>
      </c>
      <c r="AP358" s="83">
        <f>L358*(1-0.144602649006623)</f>
        <v>0</v>
      </c>
      <c r="AQ358" s="85" t="s">
        <v>52</v>
      </c>
      <c r="AV358" s="83">
        <f>AW358+AX358</f>
        <v>0</v>
      </c>
      <c r="AW358" s="83">
        <f>K358*AO358</f>
        <v>0</v>
      </c>
      <c r="AX358" s="83">
        <f>K358*AP358</f>
        <v>0</v>
      </c>
      <c r="AY358" s="85" t="s">
        <v>581</v>
      </c>
      <c r="AZ358" s="85" t="s">
        <v>510</v>
      </c>
      <c r="BA358" s="72" t="s">
        <v>58</v>
      </c>
      <c r="BC358" s="83">
        <f>AW358+AX358</f>
        <v>0</v>
      </c>
      <c r="BD358" s="83">
        <f>L358/(100-BE358)*100</f>
        <v>0</v>
      </c>
      <c r="BE358" s="83">
        <v>0</v>
      </c>
      <c r="BF358" s="83">
        <f>358</f>
        <v>358</v>
      </c>
      <c r="BH358" s="83">
        <f>K358*AO358</f>
        <v>0</v>
      </c>
      <c r="BI358" s="83">
        <f>K358*AP358</f>
        <v>0</v>
      </c>
      <c r="BJ358" s="83">
        <f>K358*L358</f>
        <v>0</v>
      </c>
      <c r="BK358" s="83"/>
      <c r="BL358" s="83">
        <v>59</v>
      </c>
    </row>
    <row r="359" spans="1:13" ht="15" customHeight="1">
      <c r="A359" s="86"/>
      <c r="C359" s="87" t="s">
        <v>622</v>
      </c>
      <c r="I359" s="87" t="s">
        <v>215</v>
      </c>
      <c r="K359" s="88">
        <v>684</v>
      </c>
      <c r="M359" s="89"/>
    </row>
    <row r="360" spans="1:13" ht="15" customHeight="1">
      <c r="A360" s="86"/>
      <c r="C360" s="87" t="s">
        <v>346</v>
      </c>
      <c r="I360" s="87" t="s">
        <v>623</v>
      </c>
      <c r="K360" s="88">
        <v>53.00000000000001</v>
      </c>
      <c r="M360" s="89"/>
    </row>
    <row r="361" spans="1:13" ht="15" customHeight="1">
      <c r="A361" s="86"/>
      <c r="C361" s="87" t="s">
        <v>533</v>
      </c>
      <c r="I361" s="87" t="s">
        <v>88</v>
      </c>
      <c r="K361" s="88">
        <v>-176.91400000000002</v>
      </c>
      <c r="M361" s="89"/>
    </row>
    <row r="362" spans="1:13" ht="15" customHeight="1">
      <c r="A362" s="86"/>
      <c r="C362" s="87" t="s">
        <v>534</v>
      </c>
      <c r="I362" s="87" t="s">
        <v>90</v>
      </c>
      <c r="K362" s="88">
        <v>-84.51100000000001</v>
      </c>
      <c r="M362" s="89"/>
    </row>
    <row r="363" spans="1:13" ht="40.5" customHeight="1">
      <c r="A363" s="86"/>
      <c r="B363" s="90" t="s">
        <v>60</v>
      </c>
      <c r="C363" s="161" t="s">
        <v>624</v>
      </c>
      <c r="D363" s="162"/>
      <c r="E363" s="162"/>
      <c r="F363" s="162"/>
      <c r="G363" s="162"/>
      <c r="H363" s="162"/>
      <c r="I363" s="162"/>
      <c r="J363" s="162"/>
      <c r="K363" s="162"/>
      <c r="L363" s="162"/>
      <c r="M363" s="163"/>
    </row>
    <row r="364" spans="1:64" ht="15" customHeight="1">
      <c r="A364" s="65" t="s">
        <v>615</v>
      </c>
      <c r="B364" s="66" t="s">
        <v>626</v>
      </c>
      <c r="C364" s="150" t="s">
        <v>627</v>
      </c>
      <c r="D364" s="150"/>
      <c r="E364" s="150"/>
      <c r="F364" s="150"/>
      <c r="G364" s="150"/>
      <c r="H364" s="150"/>
      <c r="I364" s="150"/>
      <c r="J364" s="66" t="s">
        <v>79</v>
      </c>
      <c r="K364" s="83">
        <v>260.73337</v>
      </c>
      <c r="L364" s="108"/>
      <c r="M364" s="84">
        <f>K364*L364</f>
        <v>0</v>
      </c>
      <c r="Z364" s="83">
        <f>IF(AQ364="5",BJ364,0)</f>
        <v>0</v>
      </c>
      <c r="AB364" s="83">
        <f>IF(AQ364="1",BH364,0)</f>
        <v>0</v>
      </c>
      <c r="AC364" s="83">
        <f>IF(AQ364="1",BI364,0)</f>
        <v>0</v>
      </c>
      <c r="AD364" s="83">
        <f>IF(AQ364="7",BH364,0)</f>
        <v>0</v>
      </c>
      <c r="AE364" s="83">
        <f>IF(AQ364="7",BI364,0)</f>
        <v>0</v>
      </c>
      <c r="AF364" s="83">
        <f>IF(AQ364="2",BH364,0)</f>
        <v>0</v>
      </c>
      <c r="AG364" s="83">
        <f>IF(AQ364="2",BI364,0)</f>
        <v>0</v>
      </c>
      <c r="AH364" s="83">
        <f>IF(AQ364="0",BJ364,0)</f>
        <v>0</v>
      </c>
      <c r="AI364" s="72" t="s">
        <v>49</v>
      </c>
      <c r="AJ364" s="83">
        <f>IF(AN364=0,M364,0)</f>
        <v>0</v>
      </c>
      <c r="AK364" s="83">
        <f>IF(AN364=15,M364,0)</f>
        <v>0</v>
      </c>
      <c r="AL364" s="83">
        <f>IF(AN364=21,M364,0)</f>
        <v>0</v>
      </c>
      <c r="AN364" s="83">
        <v>21</v>
      </c>
      <c r="AO364" s="83">
        <f>L364*1</f>
        <v>0</v>
      </c>
      <c r="AP364" s="83">
        <f>L364*(1-1)</f>
        <v>0</v>
      </c>
      <c r="AQ364" s="85" t="s">
        <v>52</v>
      </c>
      <c r="AV364" s="83">
        <f>AW364+AX364</f>
        <v>0</v>
      </c>
      <c r="AW364" s="83">
        <f>K364*AO364</f>
        <v>0</v>
      </c>
      <c r="AX364" s="83">
        <f>K364*AP364</f>
        <v>0</v>
      </c>
      <c r="AY364" s="85" t="s">
        <v>581</v>
      </c>
      <c r="AZ364" s="85" t="s">
        <v>510</v>
      </c>
      <c r="BA364" s="72" t="s">
        <v>58</v>
      </c>
      <c r="BC364" s="83">
        <f>AW364+AX364</f>
        <v>0</v>
      </c>
      <c r="BD364" s="83">
        <f>L364/(100-BE364)*100</f>
        <v>0</v>
      </c>
      <c r="BE364" s="83">
        <v>0</v>
      </c>
      <c r="BF364" s="83">
        <f>364</f>
        <v>364</v>
      </c>
      <c r="BH364" s="83">
        <f>K364*AO364</f>
        <v>0</v>
      </c>
      <c r="BI364" s="83">
        <f>K364*AP364</f>
        <v>0</v>
      </c>
      <c r="BJ364" s="83">
        <f>K364*L364</f>
        <v>0</v>
      </c>
      <c r="BK364" s="83"/>
      <c r="BL364" s="83">
        <v>59</v>
      </c>
    </row>
    <row r="365" spans="1:13" ht="15" customHeight="1">
      <c r="A365" s="86"/>
      <c r="C365" s="87" t="s">
        <v>530</v>
      </c>
      <c r="I365" s="87" t="s">
        <v>49</v>
      </c>
      <c r="K365" s="88">
        <v>737.0000000000001</v>
      </c>
      <c r="M365" s="89"/>
    </row>
    <row r="366" spans="1:13" ht="15" customHeight="1">
      <c r="A366" s="86"/>
      <c r="C366" s="87" t="s">
        <v>628</v>
      </c>
      <c r="I366" s="87" t="s">
        <v>629</v>
      </c>
      <c r="K366" s="88">
        <v>-227.25750000000002</v>
      </c>
      <c r="M366" s="89"/>
    </row>
    <row r="367" spans="1:13" ht="15" customHeight="1">
      <c r="A367" s="86"/>
      <c r="C367" s="87" t="s">
        <v>533</v>
      </c>
      <c r="I367" s="87" t="s">
        <v>88</v>
      </c>
      <c r="K367" s="88">
        <v>-176.91400000000002</v>
      </c>
      <c r="M367" s="89"/>
    </row>
    <row r="368" spans="1:13" ht="15" customHeight="1">
      <c r="A368" s="86"/>
      <c r="C368" s="87" t="s">
        <v>534</v>
      </c>
      <c r="I368" s="87" t="s">
        <v>90</v>
      </c>
      <c r="K368" s="88">
        <v>-84.51100000000001</v>
      </c>
      <c r="M368" s="89"/>
    </row>
    <row r="369" spans="1:13" ht="15" customHeight="1">
      <c r="A369" s="86"/>
      <c r="C369" s="87" t="s">
        <v>630</v>
      </c>
      <c r="I369" s="87" t="s">
        <v>49</v>
      </c>
      <c r="K369" s="88">
        <v>12.415870000000002</v>
      </c>
      <c r="M369" s="89"/>
    </row>
    <row r="370" spans="1:64" ht="15" customHeight="1">
      <c r="A370" s="65" t="s">
        <v>332</v>
      </c>
      <c r="B370" s="66" t="s">
        <v>632</v>
      </c>
      <c r="C370" s="150" t="s">
        <v>633</v>
      </c>
      <c r="D370" s="150"/>
      <c r="E370" s="150"/>
      <c r="F370" s="150"/>
      <c r="G370" s="150"/>
      <c r="H370" s="150"/>
      <c r="I370" s="150"/>
      <c r="J370" s="66" t="s">
        <v>79</v>
      </c>
      <c r="K370" s="83">
        <v>475.575</v>
      </c>
      <c r="L370" s="108"/>
      <c r="M370" s="84">
        <f>K370*L370</f>
        <v>0</v>
      </c>
      <c r="Z370" s="83">
        <f>IF(AQ370="5",BJ370,0)</f>
        <v>0</v>
      </c>
      <c r="AB370" s="83">
        <f>IF(AQ370="1",BH370,0)</f>
        <v>0</v>
      </c>
      <c r="AC370" s="83">
        <f>IF(AQ370="1",BI370,0)</f>
        <v>0</v>
      </c>
      <c r="AD370" s="83">
        <f>IF(AQ370="7",BH370,0)</f>
        <v>0</v>
      </c>
      <c r="AE370" s="83">
        <f>IF(AQ370="7",BI370,0)</f>
        <v>0</v>
      </c>
      <c r="AF370" s="83">
        <f>IF(AQ370="2",BH370,0)</f>
        <v>0</v>
      </c>
      <c r="AG370" s="83">
        <f>IF(AQ370="2",BI370,0)</f>
        <v>0</v>
      </c>
      <c r="AH370" s="83">
        <f>IF(AQ370="0",BJ370,0)</f>
        <v>0</v>
      </c>
      <c r="AI370" s="72" t="s">
        <v>49</v>
      </c>
      <c r="AJ370" s="83">
        <f>IF(AN370=0,M370,0)</f>
        <v>0</v>
      </c>
      <c r="AK370" s="83">
        <f>IF(AN370=15,M370,0)</f>
        <v>0</v>
      </c>
      <c r="AL370" s="83">
        <f>IF(AN370=21,M370,0)</f>
        <v>0</v>
      </c>
      <c r="AN370" s="83">
        <v>21</v>
      </c>
      <c r="AO370" s="83">
        <f>L370*0</f>
        <v>0</v>
      </c>
      <c r="AP370" s="83">
        <f>L370*(1-0)</f>
        <v>0</v>
      </c>
      <c r="AQ370" s="85" t="s">
        <v>52</v>
      </c>
      <c r="AV370" s="83">
        <f>AW370+AX370</f>
        <v>0</v>
      </c>
      <c r="AW370" s="83">
        <f>K370*AO370</f>
        <v>0</v>
      </c>
      <c r="AX370" s="83">
        <f>K370*AP370</f>
        <v>0</v>
      </c>
      <c r="AY370" s="85" t="s">
        <v>581</v>
      </c>
      <c r="AZ370" s="85" t="s">
        <v>510</v>
      </c>
      <c r="BA370" s="72" t="s">
        <v>58</v>
      </c>
      <c r="BC370" s="83">
        <f>AW370+AX370</f>
        <v>0</v>
      </c>
      <c r="BD370" s="83">
        <f>L370/(100-BE370)*100</f>
        <v>0</v>
      </c>
      <c r="BE370" s="83">
        <v>0</v>
      </c>
      <c r="BF370" s="83">
        <f>370</f>
        <v>370</v>
      </c>
      <c r="BH370" s="83">
        <f>K370*AO370</f>
        <v>0</v>
      </c>
      <c r="BI370" s="83">
        <f>K370*AP370</f>
        <v>0</v>
      </c>
      <c r="BJ370" s="83">
        <f>K370*L370</f>
        <v>0</v>
      </c>
      <c r="BK370" s="83"/>
      <c r="BL370" s="83">
        <v>59</v>
      </c>
    </row>
    <row r="371" spans="1:13" ht="15" customHeight="1">
      <c r="A371" s="86"/>
      <c r="C371" s="87" t="s">
        <v>530</v>
      </c>
      <c r="I371" s="87" t="s">
        <v>49</v>
      </c>
      <c r="K371" s="88">
        <v>737.0000000000001</v>
      </c>
      <c r="M371" s="89"/>
    </row>
    <row r="372" spans="1:13" ht="15" customHeight="1">
      <c r="A372" s="86"/>
      <c r="C372" s="87" t="s">
        <v>533</v>
      </c>
      <c r="I372" s="87" t="s">
        <v>88</v>
      </c>
      <c r="K372" s="88">
        <v>-176.91400000000002</v>
      </c>
      <c r="M372" s="89"/>
    </row>
    <row r="373" spans="1:13" ht="15" customHeight="1">
      <c r="A373" s="86"/>
      <c r="C373" s="87" t="s">
        <v>534</v>
      </c>
      <c r="I373" s="87" t="s">
        <v>90</v>
      </c>
      <c r="K373" s="88">
        <v>-84.51100000000001</v>
      </c>
      <c r="M373" s="89"/>
    </row>
    <row r="374" spans="1:64" ht="15" customHeight="1">
      <c r="A374" s="65" t="s">
        <v>625</v>
      </c>
      <c r="B374" s="66" t="s">
        <v>635</v>
      </c>
      <c r="C374" s="150" t="s">
        <v>636</v>
      </c>
      <c r="D374" s="150"/>
      <c r="E374" s="150"/>
      <c r="F374" s="150"/>
      <c r="G374" s="150"/>
      <c r="H374" s="150"/>
      <c r="I374" s="150"/>
      <c r="J374" s="66" t="s">
        <v>191</v>
      </c>
      <c r="K374" s="83">
        <v>100</v>
      </c>
      <c r="L374" s="108"/>
      <c r="M374" s="84">
        <f>K374*L374</f>
        <v>0</v>
      </c>
      <c r="Z374" s="83">
        <f>IF(AQ374="5",BJ374,0)</f>
        <v>0</v>
      </c>
      <c r="AB374" s="83">
        <f>IF(AQ374="1",BH374,0)</f>
        <v>0</v>
      </c>
      <c r="AC374" s="83">
        <f>IF(AQ374="1",BI374,0)</f>
        <v>0</v>
      </c>
      <c r="AD374" s="83">
        <f>IF(AQ374="7",BH374,0)</f>
        <v>0</v>
      </c>
      <c r="AE374" s="83">
        <f>IF(AQ374="7",BI374,0)</f>
        <v>0</v>
      </c>
      <c r="AF374" s="83">
        <f>IF(AQ374="2",BH374,0)</f>
        <v>0</v>
      </c>
      <c r="AG374" s="83">
        <f>IF(AQ374="2",BI374,0)</f>
        <v>0</v>
      </c>
      <c r="AH374" s="83">
        <f>IF(AQ374="0",BJ374,0)</f>
        <v>0</v>
      </c>
      <c r="AI374" s="72" t="s">
        <v>49</v>
      </c>
      <c r="AJ374" s="83">
        <f>IF(AN374=0,M374,0)</f>
        <v>0</v>
      </c>
      <c r="AK374" s="83">
        <f>IF(AN374=15,M374,0)</f>
        <v>0</v>
      </c>
      <c r="AL374" s="83">
        <f>IF(AN374=21,M374,0)</f>
        <v>0</v>
      </c>
      <c r="AN374" s="83">
        <v>21</v>
      </c>
      <c r="AO374" s="83">
        <f>L374*0.066595846001685</f>
        <v>0</v>
      </c>
      <c r="AP374" s="83">
        <f>L374*(1-0.066595846001685)</f>
        <v>0</v>
      </c>
      <c r="AQ374" s="85" t="s">
        <v>52</v>
      </c>
      <c r="AV374" s="83">
        <f>AW374+AX374</f>
        <v>0</v>
      </c>
      <c r="AW374" s="83">
        <f>K374*AO374</f>
        <v>0</v>
      </c>
      <c r="AX374" s="83">
        <f>K374*AP374</f>
        <v>0</v>
      </c>
      <c r="AY374" s="85" t="s">
        <v>581</v>
      </c>
      <c r="AZ374" s="85" t="s">
        <v>510</v>
      </c>
      <c r="BA374" s="72" t="s">
        <v>58</v>
      </c>
      <c r="BC374" s="83">
        <f>AW374+AX374</f>
        <v>0</v>
      </c>
      <c r="BD374" s="83">
        <f>L374/(100-BE374)*100</f>
        <v>0</v>
      </c>
      <c r="BE374" s="83">
        <v>0</v>
      </c>
      <c r="BF374" s="83">
        <f>374</f>
        <v>374</v>
      </c>
      <c r="BH374" s="83">
        <f>K374*AO374</f>
        <v>0</v>
      </c>
      <c r="BI374" s="83">
        <f>K374*AP374</f>
        <v>0</v>
      </c>
      <c r="BJ374" s="83">
        <f>K374*L374</f>
        <v>0</v>
      </c>
      <c r="BK374" s="83"/>
      <c r="BL374" s="83">
        <v>59</v>
      </c>
    </row>
    <row r="375" spans="1:13" ht="15" customHeight="1">
      <c r="A375" s="86"/>
      <c r="C375" s="87" t="s">
        <v>611</v>
      </c>
      <c r="I375" s="87" t="s">
        <v>215</v>
      </c>
      <c r="K375" s="88">
        <v>100.00000000000001</v>
      </c>
      <c r="M375" s="89"/>
    </row>
    <row r="376" spans="1:64" ht="15" customHeight="1">
      <c r="A376" s="91" t="s">
        <v>631</v>
      </c>
      <c r="B376" s="92" t="s">
        <v>638</v>
      </c>
      <c r="C376" s="169" t="s">
        <v>639</v>
      </c>
      <c r="D376" s="150"/>
      <c r="E376" s="150"/>
      <c r="F376" s="150"/>
      <c r="G376" s="150"/>
      <c r="H376" s="150"/>
      <c r="I376" s="169"/>
      <c r="J376" s="92" t="s">
        <v>79</v>
      </c>
      <c r="K376" s="93">
        <v>1158.2</v>
      </c>
      <c r="L376" s="108"/>
      <c r="M376" s="94">
        <f>K376*L376</f>
        <v>0</v>
      </c>
      <c r="Z376" s="83">
        <f>IF(AQ376="5",BJ376,0)</f>
        <v>0</v>
      </c>
      <c r="AB376" s="83">
        <f>IF(AQ376="1",BH376,0)</f>
        <v>0</v>
      </c>
      <c r="AC376" s="83">
        <f>IF(AQ376="1",BI376,0)</f>
        <v>0</v>
      </c>
      <c r="AD376" s="83">
        <f>IF(AQ376="7",BH376,0)</f>
        <v>0</v>
      </c>
      <c r="AE376" s="83">
        <f>IF(AQ376="7",BI376,0)</f>
        <v>0</v>
      </c>
      <c r="AF376" s="83">
        <f>IF(AQ376="2",BH376,0)</f>
        <v>0</v>
      </c>
      <c r="AG376" s="83">
        <f>IF(AQ376="2",BI376,0)</f>
        <v>0</v>
      </c>
      <c r="AH376" s="83">
        <f>IF(AQ376="0",BJ376,0)</f>
        <v>0</v>
      </c>
      <c r="AI376" s="72" t="s">
        <v>49</v>
      </c>
      <c r="AJ376" s="83">
        <f>IF(AN376=0,M376,0)</f>
        <v>0</v>
      </c>
      <c r="AK376" s="83">
        <f>IF(AN376=15,M376,0)</f>
        <v>0</v>
      </c>
      <c r="AL376" s="83">
        <f>IF(AN376=21,M376,0)</f>
        <v>0</v>
      </c>
      <c r="AN376" s="83">
        <v>21</v>
      </c>
      <c r="AO376" s="83">
        <f>L376*0.12489289740699</f>
        <v>0</v>
      </c>
      <c r="AP376" s="83">
        <f>L376*(1-0.12489289740699)</f>
        <v>0</v>
      </c>
      <c r="AQ376" s="85" t="s">
        <v>52</v>
      </c>
      <c r="AV376" s="83">
        <f>AW376+AX376</f>
        <v>0</v>
      </c>
      <c r="AW376" s="83">
        <f>K376*AO376</f>
        <v>0</v>
      </c>
      <c r="AX376" s="83">
        <f>K376*AP376</f>
        <v>0</v>
      </c>
      <c r="AY376" s="85" t="s">
        <v>581</v>
      </c>
      <c r="AZ376" s="85" t="s">
        <v>510</v>
      </c>
      <c r="BA376" s="72" t="s">
        <v>58</v>
      </c>
      <c r="BC376" s="83">
        <f>AW376+AX376</f>
        <v>0</v>
      </c>
      <c r="BD376" s="83">
        <f>L376/(100-BE376)*100</f>
        <v>0</v>
      </c>
      <c r="BE376" s="83">
        <v>0</v>
      </c>
      <c r="BF376" s="83">
        <f>376</f>
        <v>376</v>
      </c>
      <c r="BH376" s="83">
        <f>K376*AO376</f>
        <v>0</v>
      </c>
      <c r="BI376" s="83">
        <f>K376*AP376</f>
        <v>0</v>
      </c>
      <c r="BJ376" s="83">
        <f>K376*L376</f>
        <v>0</v>
      </c>
      <c r="BK376" s="83"/>
      <c r="BL376" s="83">
        <v>59</v>
      </c>
    </row>
    <row r="377" spans="1:13" ht="15" customHeight="1">
      <c r="A377" s="95"/>
      <c r="B377" s="96"/>
      <c r="C377" s="97" t="s">
        <v>640</v>
      </c>
      <c r="I377" s="97" t="s">
        <v>49</v>
      </c>
      <c r="J377" s="96"/>
      <c r="K377" s="98">
        <v>1482.0000000000002</v>
      </c>
      <c r="L377" s="96"/>
      <c r="M377" s="99"/>
    </row>
    <row r="378" spans="1:13" ht="15" customHeight="1">
      <c r="A378" s="95"/>
      <c r="B378" s="96"/>
      <c r="C378" s="97" t="s">
        <v>641</v>
      </c>
      <c r="I378" s="97" t="s">
        <v>642</v>
      </c>
      <c r="J378" s="96"/>
      <c r="K378" s="98">
        <v>-36</v>
      </c>
      <c r="L378" s="96"/>
      <c r="M378" s="99"/>
    </row>
    <row r="379" spans="1:13" ht="15" customHeight="1">
      <c r="A379" s="95"/>
      <c r="B379" s="96"/>
      <c r="C379" s="97" t="s">
        <v>643</v>
      </c>
      <c r="I379" s="97" t="s">
        <v>644</v>
      </c>
      <c r="J379" s="96"/>
      <c r="K379" s="98">
        <v>-2</v>
      </c>
      <c r="L379" s="96"/>
      <c r="M379" s="99"/>
    </row>
    <row r="380" spans="1:13" ht="15" customHeight="1">
      <c r="A380" s="95"/>
      <c r="B380" s="96"/>
      <c r="C380" s="97" t="s">
        <v>541</v>
      </c>
      <c r="I380" s="97" t="s">
        <v>88</v>
      </c>
      <c r="J380" s="96"/>
      <c r="K380" s="98">
        <v>-209.8</v>
      </c>
      <c r="L380" s="96"/>
      <c r="M380" s="99"/>
    </row>
    <row r="381" spans="1:13" ht="15" customHeight="1">
      <c r="A381" s="95"/>
      <c r="B381" s="96"/>
      <c r="C381" s="97" t="s">
        <v>542</v>
      </c>
      <c r="I381" s="97" t="s">
        <v>90</v>
      </c>
      <c r="J381" s="96"/>
      <c r="K381" s="98">
        <v>-76</v>
      </c>
      <c r="L381" s="96"/>
      <c r="M381" s="99"/>
    </row>
    <row r="382" spans="1:64" ht="15" customHeight="1">
      <c r="A382" s="65" t="s">
        <v>634</v>
      </c>
      <c r="B382" s="66" t="s">
        <v>646</v>
      </c>
      <c r="C382" s="150" t="s">
        <v>647</v>
      </c>
      <c r="D382" s="150"/>
      <c r="E382" s="150"/>
      <c r="F382" s="150"/>
      <c r="G382" s="150"/>
      <c r="H382" s="150"/>
      <c r="I382" s="150"/>
      <c r="J382" s="66" t="s">
        <v>79</v>
      </c>
      <c r="K382" s="83">
        <v>1010.3304</v>
      </c>
      <c r="L382" s="108"/>
      <c r="M382" s="84">
        <f>K382*L382</f>
        <v>0</v>
      </c>
      <c r="Z382" s="83">
        <f>IF(AQ382="5",BJ382,0)</f>
        <v>0</v>
      </c>
      <c r="AB382" s="83">
        <f>IF(AQ382="1",BH382,0)</f>
        <v>0</v>
      </c>
      <c r="AC382" s="83">
        <f>IF(AQ382="1",BI382,0)</f>
        <v>0</v>
      </c>
      <c r="AD382" s="83">
        <f>IF(AQ382="7",BH382,0)</f>
        <v>0</v>
      </c>
      <c r="AE382" s="83">
        <f>IF(AQ382="7",BI382,0)</f>
        <v>0</v>
      </c>
      <c r="AF382" s="83">
        <f>IF(AQ382="2",BH382,0)</f>
        <v>0</v>
      </c>
      <c r="AG382" s="83">
        <f>IF(AQ382="2",BI382,0)</f>
        <v>0</v>
      </c>
      <c r="AH382" s="83">
        <f>IF(AQ382="0",BJ382,0)</f>
        <v>0</v>
      </c>
      <c r="AI382" s="72" t="s">
        <v>49</v>
      </c>
      <c r="AJ382" s="83">
        <f>IF(AN382=0,M382,0)</f>
        <v>0</v>
      </c>
      <c r="AK382" s="83">
        <f>IF(AN382=15,M382,0)</f>
        <v>0</v>
      </c>
      <c r="AL382" s="83">
        <f>IF(AN382=21,M382,0)</f>
        <v>0</v>
      </c>
      <c r="AN382" s="83">
        <v>21</v>
      </c>
      <c r="AO382" s="83">
        <f>L382*1</f>
        <v>0</v>
      </c>
      <c r="AP382" s="83">
        <f>L382*(1-1)</f>
        <v>0</v>
      </c>
      <c r="AQ382" s="85" t="s">
        <v>52</v>
      </c>
      <c r="AV382" s="83">
        <f>AW382+AX382</f>
        <v>0</v>
      </c>
      <c r="AW382" s="83">
        <f>K382*AO382</f>
        <v>0</v>
      </c>
      <c r="AX382" s="83">
        <f>K382*AP382</f>
        <v>0</v>
      </c>
      <c r="AY382" s="85" t="s">
        <v>581</v>
      </c>
      <c r="AZ382" s="85" t="s">
        <v>510</v>
      </c>
      <c r="BA382" s="72" t="s">
        <v>58</v>
      </c>
      <c r="BC382" s="83">
        <f>AW382+AX382</f>
        <v>0</v>
      </c>
      <c r="BD382" s="83">
        <f>L382/(100-BE382)*100</f>
        <v>0</v>
      </c>
      <c r="BE382" s="83">
        <v>0</v>
      </c>
      <c r="BF382" s="83">
        <f>382</f>
        <v>382</v>
      </c>
      <c r="BH382" s="83">
        <f>K382*AO382</f>
        <v>0</v>
      </c>
      <c r="BI382" s="83">
        <f>K382*AP382</f>
        <v>0</v>
      </c>
      <c r="BJ382" s="83">
        <f>K382*L382</f>
        <v>0</v>
      </c>
      <c r="BK382" s="83"/>
      <c r="BL382" s="83">
        <v>59</v>
      </c>
    </row>
    <row r="383" spans="1:13" ht="15" customHeight="1">
      <c r="A383" s="86"/>
      <c r="C383" s="87" t="s">
        <v>648</v>
      </c>
      <c r="I383" s="87" t="s">
        <v>49</v>
      </c>
      <c r="K383" s="88">
        <v>1446.0000000000002</v>
      </c>
      <c r="M383" s="89"/>
    </row>
    <row r="384" spans="1:13" ht="15" customHeight="1">
      <c r="A384" s="86"/>
      <c r="C384" s="87" t="s">
        <v>649</v>
      </c>
      <c r="I384" s="87" t="s">
        <v>629</v>
      </c>
      <c r="K384" s="88">
        <v>-169.68</v>
      </c>
      <c r="M384" s="89"/>
    </row>
    <row r="385" spans="1:13" ht="15" customHeight="1">
      <c r="A385" s="86"/>
      <c r="C385" s="87" t="s">
        <v>541</v>
      </c>
      <c r="I385" s="87" t="s">
        <v>88</v>
      </c>
      <c r="K385" s="88">
        <v>-209.8</v>
      </c>
      <c r="M385" s="89"/>
    </row>
    <row r="386" spans="1:13" ht="15" customHeight="1">
      <c r="A386" s="86"/>
      <c r="C386" s="87" t="s">
        <v>542</v>
      </c>
      <c r="I386" s="87" t="s">
        <v>90</v>
      </c>
      <c r="K386" s="88">
        <v>-76</v>
      </c>
      <c r="M386" s="89"/>
    </row>
    <row r="387" spans="1:13" ht="15" customHeight="1">
      <c r="A387" s="86"/>
      <c r="C387" s="87" t="s">
        <v>650</v>
      </c>
      <c r="I387" s="87" t="s">
        <v>49</v>
      </c>
      <c r="K387" s="88">
        <v>19.8104</v>
      </c>
      <c r="M387" s="89"/>
    </row>
    <row r="388" spans="1:13" ht="13.5" customHeight="1">
      <c r="A388" s="86"/>
      <c r="B388" s="90" t="s">
        <v>60</v>
      </c>
      <c r="C388" s="161" t="s">
        <v>651</v>
      </c>
      <c r="D388" s="162"/>
      <c r="E388" s="162"/>
      <c r="F388" s="162"/>
      <c r="G388" s="162"/>
      <c r="H388" s="162"/>
      <c r="I388" s="162"/>
      <c r="J388" s="162"/>
      <c r="K388" s="162"/>
      <c r="L388" s="162"/>
      <c r="M388" s="163"/>
    </row>
    <row r="389" spans="1:64" ht="15" customHeight="1">
      <c r="A389" s="65" t="s">
        <v>637</v>
      </c>
      <c r="B389" s="66" t="s">
        <v>653</v>
      </c>
      <c r="C389" s="150" t="s">
        <v>654</v>
      </c>
      <c r="D389" s="150"/>
      <c r="E389" s="150"/>
      <c r="F389" s="150"/>
      <c r="G389" s="150"/>
      <c r="H389" s="150"/>
      <c r="I389" s="150"/>
      <c r="J389" s="66" t="s">
        <v>79</v>
      </c>
      <c r="K389" s="83">
        <v>224.5</v>
      </c>
      <c r="L389" s="108"/>
      <c r="M389" s="84">
        <f>K389*L389</f>
        <v>0</v>
      </c>
      <c r="Z389" s="83">
        <f>IF(AQ389="5",BJ389,0)</f>
        <v>0</v>
      </c>
      <c r="AB389" s="83">
        <f>IF(AQ389="1",BH389,0)</f>
        <v>0</v>
      </c>
      <c r="AC389" s="83">
        <f>IF(AQ389="1",BI389,0)</f>
        <v>0</v>
      </c>
      <c r="AD389" s="83">
        <f>IF(AQ389="7",BH389,0)</f>
        <v>0</v>
      </c>
      <c r="AE389" s="83">
        <f>IF(AQ389="7",BI389,0)</f>
        <v>0</v>
      </c>
      <c r="AF389" s="83">
        <f>IF(AQ389="2",BH389,0)</f>
        <v>0</v>
      </c>
      <c r="AG389" s="83">
        <f>IF(AQ389="2",BI389,0)</f>
        <v>0</v>
      </c>
      <c r="AH389" s="83">
        <f>IF(AQ389="0",BJ389,0)</f>
        <v>0</v>
      </c>
      <c r="AI389" s="72" t="s">
        <v>49</v>
      </c>
      <c r="AJ389" s="83">
        <f>IF(AN389=0,M389,0)</f>
        <v>0</v>
      </c>
      <c r="AK389" s="83">
        <f>IF(AN389=15,M389,0)</f>
        <v>0</v>
      </c>
      <c r="AL389" s="83">
        <f>IF(AN389=21,M389,0)</f>
        <v>0</v>
      </c>
      <c r="AN389" s="83">
        <v>21</v>
      </c>
      <c r="AO389" s="83">
        <f>L389*0.1249</f>
        <v>0</v>
      </c>
      <c r="AP389" s="83">
        <f>L389*(1-0.1249)</f>
        <v>0</v>
      </c>
      <c r="AQ389" s="85" t="s">
        <v>52</v>
      </c>
      <c r="AV389" s="83">
        <f>AW389+AX389</f>
        <v>0</v>
      </c>
      <c r="AW389" s="83">
        <f>K389*AO389</f>
        <v>0</v>
      </c>
      <c r="AX389" s="83">
        <f>K389*AP389</f>
        <v>0</v>
      </c>
      <c r="AY389" s="85" t="s">
        <v>581</v>
      </c>
      <c r="AZ389" s="85" t="s">
        <v>510</v>
      </c>
      <c r="BA389" s="72" t="s">
        <v>58</v>
      </c>
      <c r="BC389" s="83">
        <f>AW389+AX389</f>
        <v>0</v>
      </c>
      <c r="BD389" s="83">
        <f>L389/(100-BE389)*100</f>
        <v>0</v>
      </c>
      <c r="BE389" s="83">
        <v>0</v>
      </c>
      <c r="BF389" s="83">
        <f>389</f>
        <v>389</v>
      </c>
      <c r="BH389" s="83">
        <f>K389*AO389</f>
        <v>0</v>
      </c>
      <c r="BI389" s="83">
        <f>K389*AP389</f>
        <v>0</v>
      </c>
      <c r="BJ389" s="83">
        <f>K389*L389</f>
        <v>0</v>
      </c>
      <c r="BK389" s="83"/>
      <c r="BL389" s="83">
        <v>59</v>
      </c>
    </row>
    <row r="390" spans="1:13" ht="15" customHeight="1">
      <c r="A390" s="86"/>
      <c r="C390" s="87" t="s">
        <v>655</v>
      </c>
      <c r="I390" s="87" t="s">
        <v>656</v>
      </c>
      <c r="K390" s="88">
        <v>238.00000000000003</v>
      </c>
      <c r="M390" s="89"/>
    </row>
    <row r="391" spans="1:13" ht="15" customHeight="1">
      <c r="A391" s="86"/>
      <c r="C391" s="87" t="s">
        <v>657</v>
      </c>
      <c r="I391" s="87" t="s">
        <v>642</v>
      </c>
      <c r="K391" s="88">
        <v>-13.500000000000002</v>
      </c>
      <c r="M391" s="89"/>
    </row>
    <row r="392" spans="1:64" ht="15" customHeight="1">
      <c r="A392" s="65" t="s">
        <v>645</v>
      </c>
      <c r="B392" s="66" t="s">
        <v>659</v>
      </c>
      <c r="C392" s="150" t="s">
        <v>660</v>
      </c>
      <c r="D392" s="150"/>
      <c r="E392" s="150"/>
      <c r="F392" s="150"/>
      <c r="G392" s="150"/>
      <c r="H392" s="150"/>
      <c r="I392" s="150"/>
      <c r="J392" s="66" t="s">
        <v>79</v>
      </c>
      <c r="K392" s="83">
        <v>149.838</v>
      </c>
      <c r="L392" s="108"/>
      <c r="M392" s="84">
        <f>K392*L392</f>
        <v>0</v>
      </c>
      <c r="Z392" s="83">
        <f>IF(AQ392="5",BJ392,0)</f>
        <v>0</v>
      </c>
      <c r="AB392" s="83">
        <f>IF(AQ392="1",BH392,0)</f>
        <v>0</v>
      </c>
      <c r="AC392" s="83">
        <f>IF(AQ392="1",BI392,0)</f>
        <v>0</v>
      </c>
      <c r="AD392" s="83">
        <f>IF(AQ392="7",BH392,0)</f>
        <v>0</v>
      </c>
      <c r="AE392" s="83">
        <f>IF(AQ392="7",BI392,0)</f>
        <v>0</v>
      </c>
      <c r="AF392" s="83">
        <f>IF(AQ392="2",BH392,0)</f>
        <v>0</v>
      </c>
      <c r="AG392" s="83">
        <f>IF(AQ392="2",BI392,0)</f>
        <v>0</v>
      </c>
      <c r="AH392" s="83">
        <f>IF(AQ392="0",BJ392,0)</f>
        <v>0</v>
      </c>
      <c r="AI392" s="72" t="s">
        <v>49</v>
      </c>
      <c r="AJ392" s="83">
        <f>IF(AN392=0,M392,0)</f>
        <v>0</v>
      </c>
      <c r="AK392" s="83">
        <f>IF(AN392=15,M392,0)</f>
        <v>0</v>
      </c>
      <c r="AL392" s="83">
        <f>IF(AN392=21,M392,0)</f>
        <v>0</v>
      </c>
      <c r="AN392" s="83">
        <v>21</v>
      </c>
      <c r="AO392" s="83">
        <f>L392*1</f>
        <v>0</v>
      </c>
      <c r="AP392" s="83">
        <f>L392*(1-1)</f>
        <v>0</v>
      </c>
      <c r="AQ392" s="85" t="s">
        <v>52</v>
      </c>
      <c r="AV392" s="83">
        <f>AW392+AX392</f>
        <v>0</v>
      </c>
      <c r="AW392" s="83">
        <f>K392*AO392</f>
        <v>0</v>
      </c>
      <c r="AX392" s="83">
        <f>K392*AP392</f>
        <v>0</v>
      </c>
      <c r="AY392" s="85" t="s">
        <v>581</v>
      </c>
      <c r="AZ392" s="85" t="s">
        <v>510</v>
      </c>
      <c r="BA392" s="72" t="s">
        <v>58</v>
      </c>
      <c r="BC392" s="83">
        <f>AW392+AX392</f>
        <v>0</v>
      </c>
      <c r="BD392" s="83">
        <f>L392/(100-BE392)*100</f>
        <v>0</v>
      </c>
      <c r="BE392" s="83">
        <v>0</v>
      </c>
      <c r="BF392" s="83">
        <f>392</f>
        <v>392</v>
      </c>
      <c r="BH392" s="83">
        <f>K392*AO392</f>
        <v>0</v>
      </c>
      <c r="BI392" s="83">
        <f>K392*AP392</f>
        <v>0</v>
      </c>
      <c r="BJ392" s="83">
        <f>K392*L392</f>
        <v>0</v>
      </c>
      <c r="BK392" s="83"/>
      <c r="BL392" s="83">
        <v>59</v>
      </c>
    </row>
    <row r="393" spans="1:13" ht="15" customHeight="1">
      <c r="A393" s="86"/>
      <c r="C393" s="87" t="s">
        <v>661</v>
      </c>
      <c r="I393" s="87" t="s">
        <v>49</v>
      </c>
      <c r="K393" s="88">
        <v>224.50000000000003</v>
      </c>
      <c r="M393" s="89"/>
    </row>
    <row r="394" spans="1:13" ht="15" customHeight="1">
      <c r="A394" s="86"/>
      <c r="C394" s="87" t="s">
        <v>662</v>
      </c>
      <c r="I394" s="87" t="s">
        <v>49</v>
      </c>
      <c r="K394" s="88">
        <v>-77.60000000000001</v>
      </c>
      <c r="M394" s="89"/>
    </row>
    <row r="395" spans="1:13" ht="15" customHeight="1">
      <c r="A395" s="86"/>
      <c r="C395" s="87" t="s">
        <v>663</v>
      </c>
      <c r="I395" s="87" t="s">
        <v>49</v>
      </c>
      <c r="K395" s="88">
        <v>2.938</v>
      </c>
      <c r="M395" s="89"/>
    </row>
    <row r="396" spans="1:13" ht="13.5" customHeight="1">
      <c r="A396" s="86"/>
      <c r="B396" s="90" t="s">
        <v>60</v>
      </c>
      <c r="C396" s="161" t="s">
        <v>651</v>
      </c>
      <c r="D396" s="162"/>
      <c r="E396" s="162"/>
      <c r="F396" s="162"/>
      <c r="G396" s="162"/>
      <c r="H396" s="162"/>
      <c r="I396" s="162"/>
      <c r="J396" s="162"/>
      <c r="K396" s="162"/>
      <c r="L396" s="162"/>
      <c r="M396" s="163"/>
    </row>
    <row r="397" spans="1:64" ht="15" customHeight="1">
      <c r="A397" s="65" t="s">
        <v>652</v>
      </c>
      <c r="B397" s="66" t="s">
        <v>665</v>
      </c>
      <c r="C397" s="150" t="s">
        <v>666</v>
      </c>
      <c r="D397" s="150"/>
      <c r="E397" s="150"/>
      <c r="F397" s="150"/>
      <c r="G397" s="150"/>
      <c r="H397" s="150"/>
      <c r="I397" s="150"/>
      <c r="J397" s="66" t="s">
        <v>79</v>
      </c>
      <c r="K397" s="83">
        <v>49.5</v>
      </c>
      <c r="L397" s="108"/>
      <c r="M397" s="84">
        <f>K397*L397</f>
        <v>0</v>
      </c>
      <c r="Z397" s="83">
        <f>IF(AQ397="5",BJ397,0)</f>
        <v>0</v>
      </c>
      <c r="AB397" s="83">
        <f>IF(AQ397="1",BH397,0)</f>
        <v>0</v>
      </c>
      <c r="AC397" s="83">
        <f>IF(AQ397="1",BI397,0)</f>
        <v>0</v>
      </c>
      <c r="AD397" s="83">
        <f>IF(AQ397="7",BH397,0)</f>
        <v>0</v>
      </c>
      <c r="AE397" s="83">
        <f>IF(AQ397="7",BI397,0)</f>
        <v>0</v>
      </c>
      <c r="AF397" s="83">
        <f>IF(AQ397="2",BH397,0)</f>
        <v>0</v>
      </c>
      <c r="AG397" s="83">
        <f>IF(AQ397="2",BI397,0)</f>
        <v>0</v>
      </c>
      <c r="AH397" s="83">
        <f>IF(AQ397="0",BJ397,0)</f>
        <v>0</v>
      </c>
      <c r="AI397" s="72" t="s">
        <v>49</v>
      </c>
      <c r="AJ397" s="83">
        <f>IF(AN397=0,M397,0)</f>
        <v>0</v>
      </c>
      <c r="AK397" s="83">
        <f>IF(AN397=15,M397,0)</f>
        <v>0</v>
      </c>
      <c r="AL397" s="83">
        <f>IF(AN397=21,M397,0)</f>
        <v>0</v>
      </c>
      <c r="AN397" s="83">
        <v>21</v>
      </c>
      <c r="AO397" s="83">
        <f>L397*0.0991373439273553</f>
        <v>0</v>
      </c>
      <c r="AP397" s="83">
        <f>L397*(1-0.0991373439273553)</f>
        <v>0</v>
      </c>
      <c r="AQ397" s="85" t="s">
        <v>52</v>
      </c>
      <c r="AV397" s="83">
        <f>AW397+AX397</f>
        <v>0</v>
      </c>
      <c r="AW397" s="83">
        <f>K397*AO397</f>
        <v>0</v>
      </c>
      <c r="AX397" s="83">
        <f>K397*AP397</f>
        <v>0</v>
      </c>
      <c r="AY397" s="85" t="s">
        <v>581</v>
      </c>
      <c r="AZ397" s="85" t="s">
        <v>510</v>
      </c>
      <c r="BA397" s="72" t="s">
        <v>58</v>
      </c>
      <c r="BC397" s="83">
        <f>AW397+AX397</f>
        <v>0</v>
      </c>
      <c r="BD397" s="83">
        <f>L397/(100-BE397)*100</f>
        <v>0</v>
      </c>
      <c r="BE397" s="83">
        <v>0</v>
      </c>
      <c r="BF397" s="83">
        <f>397</f>
        <v>397</v>
      </c>
      <c r="BH397" s="83">
        <f>K397*AO397</f>
        <v>0</v>
      </c>
      <c r="BI397" s="83">
        <f>K397*AP397</f>
        <v>0</v>
      </c>
      <c r="BJ397" s="83">
        <f>K397*L397</f>
        <v>0</v>
      </c>
      <c r="BK397" s="83"/>
      <c r="BL397" s="83">
        <v>59</v>
      </c>
    </row>
    <row r="398" spans="1:13" ht="15" customHeight="1">
      <c r="A398" s="86"/>
      <c r="C398" s="87" t="s">
        <v>667</v>
      </c>
      <c r="I398" s="87" t="s">
        <v>668</v>
      </c>
      <c r="K398" s="88">
        <v>31.000000000000004</v>
      </c>
      <c r="M398" s="89"/>
    </row>
    <row r="399" spans="1:13" ht="15" customHeight="1">
      <c r="A399" s="86"/>
      <c r="C399" s="87" t="s">
        <v>669</v>
      </c>
      <c r="I399" s="87" t="s">
        <v>670</v>
      </c>
      <c r="K399" s="88">
        <v>18.5</v>
      </c>
      <c r="M399" s="89"/>
    </row>
    <row r="400" spans="1:64" ht="15" customHeight="1">
      <c r="A400" s="65" t="s">
        <v>658</v>
      </c>
      <c r="B400" s="66" t="s">
        <v>659</v>
      </c>
      <c r="C400" s="150" t="s">
        <v>672</v>
      </c>
      <c r="D400" s="150"/>
      <c r="E400" s="150"/>
      <c r="F400" s="150"/>
      <c r="G400" s="150"/>
      <c r="H400" s="150"/>
      <c r="I400" s="150"/>
      <c r="J400" s="66" t="s">
        <v>79</v>
      </c>
      <c r="K400" s="83">
        <v>32.55</v>
      </c>
      <c r="L400" s="108"/>
      <c r="M400" s="84">
        <f>K400*L400</f>
        <v>0</v>
      </c>
      <c r="Z400" s="83">
        <f>IF(AQ400="5",BJ400,0)</f>
        <v>0</v>
      </c>
      <c r="AB400" s="83">
        <f>IF(AQ400="1",BH400,0)</f>
        <v>0</v>
      </c>
      <c r="AC400" s="83">
        <f>IF(AQ400="1",BI400,0)</f>
        <v>0</v>
      </c>
      <c r="AD400" s="83">
        <f>IF(AQ400="7",BH400,0)</f>
        <v>0</v>
      </c>
      <c r="AE400" s="83">
        <f>IF(AQ400="7",BI400,0)</f>
        <v>0</v>
      </c>
      <c r="AF400" s="83">
        <f>IF(AQ400="2",BH400,0)</f>
        <v>0</v>
      </c>
      <c r="AG400" s="83">
        <f>IF(AQ400="2",BI400,0)</f>
        <v>0</v>
      </c>
      <c r="AH400" s="83">
        <f>IF(AQ400="0",BJ400,0)</f>
        <v>0</v>
      </c>
      <c r="AI400" s="72" t="s">
        <v>49</v>
      </c>
      <c r="AJ400" s="83">
        <f>IF(AN400=0,M400,0)</f>
        <v>0</v>
      </c>
      <c r="AK400" s="83">
        <f>IF(AN400=15,M400,0)</f>
        <v>0</v>
      </c>
      <c r="AL400" s="83">
        <f>IF(AN400=21,M400,0)</f>
        <v>0</v>
      </c>
      <c r="AN400" s="83">
        <v>21</v>
      </c>
      <c r="AO400" s="83">
        <f>L400*1</f>
        <v>0</v>
      </c>
      <c r="AP400" s="83">
        <f>L400*(1-1)</f>
        <v>0</v>
      </c>
      <c r="AQ400" s="85" t="s">
        <v>52</v>
      </c>
      <c r="AV400" s="83">
        <f>AW400+AX400</f>
        <v>0</v>
      </c>
      <c r="AW400" s="83">
        <f>K400*AO400</f>
        <v>0</v>
      </c>
      <c r="AX400" s="83">
        <f>K400*AP400</f>
        <v>0</v>
      </c>
      <c r="AY400" s="85" t="s">
        <v>581</v>
      </c>
      <c r="AZ400" s="85" t="s">
        <v>510</v>
      </c>
      <c r="BA400" s="72" t="s">
        <v>58</v>
      </c>
      <c r="BC400" s="83">
        <f>AW400+AX400</f>
        <v>0</v>
      </c>
      <c r="BD400" s="83">
        <f>L400/(100-BE400)*100</f>
        <v>0</v>
      </c>
      <c r="BE400" s="83">
        <v>0</v>
      </c>
      <c r="BF400" s="83">
        <f>400</f>
        <v>400</v>
      </c>
      <c r="BH400" s="83">
        <f>K400*AO400</f>
        <v>0</v>
      </c>
      <c r="BI400" s="83">
        <f>K400*AP400</f>
        <v>0</v>
      </c>
      <c r="BJ400" s="83">
        <f>K400*L400</f>
        <v>0</v>
      </c>
      <c r="BK400" s="83"/>
      <c r="BL400" s="83">
        <v>59</v>
      </c>
    </row>
    <row r="401" spans="1:13" ht="15" customHeight="1">
      <c r="A401" s="86"/>
      <c r="C401" s="87" t="s">
        <v>667</v>
      </c>
      <c r="I401" s="87" t="s">
        <v>49</v>
      </c>
      <c r="K401" s="88">
        <v>31.000000000000004</v>
      </c>
      <c r="M401" s="89"/>
    </row>
    <row r="402" spans="1:13" ht="15" customHeight="1">
      <c r="A402" s="86"/>
      <c r="C402" s="87" t="s">
        <v>673</v>
      </c>
      <c r="I402" s="87" t="s">
        <v>49</v>
      </c>
      <c r="K402" s="88">
        <v>1.55</v>
      </c>
      <c r="M402" s="89"/>
    </row>
    <row r="403" spans="1:64" ht="15" customHeight="1">
      <c r="A403" s="65" t="s">
        <v>664</v>
      </c>
      <c r="B403" s="66" t="s">
        <v>675</v>
      </c>
      <c r="C403" s="150" t="s">
        <v>676</v>
      </c>
      <c r="D403" s="150"/>
      <c r="E403" s="150"/>
      <c r="F403" s="150"/>
      <c r="G403" s="150"/>
      <c r="H403" s="150"/>
      <c r="I403" s="150"/>
      <c r="J403" s="66" t="s">
        <v>79</v>
      </c>
      <c r="K403" s="83">
        <v>19.425</v>
      </c>
      <c r="L403" s="108"/>
      <c r="M403" s="84">
        <f>K403*L403</f>
        <v>0</v>
      </c>
      <c r="Z403" s="83">
        <f>IF(AQ403="5",BJ403,0)</f>
        <v>0</v>
      </c>
      <c r="AB403" s="83">
        <f>IF(AQ403="1",BH403,0)</f>
        <v>0</v>
      </c>
      <c r="AC403" s="83">
        <f>IF(AQ403="1",BI403,0)</f>
        <v>0</v>
      </c>
      <c r="AD403" s="83">
        <f>IF(AQ403="7",BH403,0)</f>
        <v>0</v>
      </c>
      <c r="AE403" s="83">
        <f>IF(AQ403="7",BI403,0)</f>
        <v>0</v>
      </c>
      <c r="AF403" s="83">
        <f>IF(AQ403="2",BH403,0)</f>
        <v>0</v>
      </c>
      <c r="AG403" s="83">
        <f>IF(AQ403="2",BI403,0)</f>
        <v>0</v>
      </c>
      <c r="AH403" s="83">
        <f>IF(AQ403="0",BJ403,0)</f>
        <v>0</v>
      </c>
      <c r="AI403" s="72" t="s">
        <v>49</v>
      </c>
      <c r="AJ403" s="83">
        <f>IF(AN403=0,M403,0)</f>
        <v>0</v>
      </c>
      <c r="AK403" s="83">
        <f>IF(AN403=15,M403,0)</f>
        <v>0</v>
      </c>
      <c r="AL403" s="83">
        <f>IF(AN403=21,M403,0)</f>
        <v>0</v>
      </c>
      <c r="AN403" s="83">
        <v>21</v>
      </c>
      <c r="AO403" s="83">
        <f>L403*1</f>
        <v>0</v>
      </c>
      <c r="AP403" s="83">
        <f>L403*(1-1)</f>
        <v>0</v>
      </c>
      <c r="AQ403" s="85" t="s">
        <v>52</v>
      </c>
      <c r="AV403" s="83">
        <f>AW403+AX403</f>
        <v>0</v>
      </c>
      <c r="AW403" s="83">
        <f>K403*AO403</f>
        <v>0</v>
      </c>
      <c r="AX403" s="83">
        <f>K403*AP403</f>
        <v>0</v>
      </c>
      <c r="AY403" s="85" t="s">
        <v>581</v>
      </c>
      <c r="AZ403" s="85" t="s">
        <v>510</v>
      </c>
      <c r="BA403" s="72" t="s">
        <v>58</v>
      </c>
      <c r="BC403" s="83">
        <f>AW403+AX403</f>
        <v>0</v>
      </c>
      <c r="BD403" s="83">
        <f>L403/(100-BE403)*100</f>
        <v>0</v>
      </c>
      <c r="BE403" s="83">
        <v>0</v>
      </c>
      <c r="BF403" s="83">
        <f>403</f>
        <v>403</v>
      </c>
      <c r="BH403" s="83">
        <f>K403*AO403</f>
        <v>0</v>
      </c>
      <c r="BI403" s="83">
        <f>K403*AP403</f>
        <v>0</v>
      </c>
      <c r="BJ403" s="83">
        <f>K403*L403</f>
        <v>0</v>
      </c>
      <c r="BK403" s="83"/>
      <c r="BL403" s="83">
        <v>59</v>
      </c>
    </row>
    <row r="404" spans="1:13" ht="15" customHeight="1">
      <c r="A404" s="86"/>
      <c r="C404" s="87" t="s">
        <v>669</v>
      </c>
      <c r="I404" s="87" t="s">
        <v>49</v>
      </c>
      <c r="K404" s="88">
        <v>18.5</v>
      </c>
      <c r="M404" s="89"/>
    </row>
    <row r="405" spans="1:13" ht="15" customHeight="1">
      <c r="A405" s="86"/>
      <c r="C405" s="87" t="s">
        <v>677</v>
      </c>
      <c r="I405" s="87" t="s">
        <v>49</v>
      </c>
      <c r="K405" s="88">
        <v>0.925</v>
      </c>
      <c r="M405" s="89"/>
    </row>
    <row r="406" spans="1:64" ht="15" customHeight="1">
      <c r="A406" s="91" t="s">
        <v>671</v>
      </c>
      <c r="B406" s="92" t="s">
        <v>679</v>
      </c>
      <c r="C406" s="169" t="s">
        <v>680</v>
      </c>
      <c r="D406" s="150"/>
      <c r="E406" s="150"/>
      <c r="F406" s="150"/>
      <c r="G406" s="150"/>
      <c r="H406" s="150"/>
      <c r="I406" s="169"/>
      <c r="J406" s="92" t="s">
        <v>79</v>
      </c>
      <c r="K406" s="93">
        <v>0.96</v>
      </c>
      <c r="L406" s="108"/>
      <c r="M406" s="94">
        <f>K406*L406</f>
        <v>0</v>
      </c>
      <c r="Z406" s="83">
        <f>IF(AQ406="5",BJ406,0)</f>
        <v>0</v>
      </c>
      <c r="AB406" s="83">
        <f>IF(AQ406="1",BH406,0)</f>
        <v>0</v>
      </c>
      <c r="AC406" s="83">
        <f>IF(AQ406="1",BI406,0)</f>
        <v>0</v>
      </c>
      <c r="AD406" s="83">
        <f>IF(AQ406="7",BH406,0)</f>
        <v>0</v>
      </c>
      <c r="AE406" s="83">
        <f>IF(AQ406="7",BI406,0)</f>
        <v>0</v>
      </c>
      <c r="AF406" s="83">
        <f>IF(AQ406="2",BH406,0)</f>
        <v>0</v>
      </c>
      <c r="AG406" s="83">
        <f>IF(AQ406="2",BI406,0)</f>
        <v>0</v>
      </c>
      <c r="AH406" s="83">
        <f>IF(AQ406="0",BJ406,0)</f>
        <v>0</v>
      </c>
      <c r="AI406" s="72" t="s">
        <v>49</v>
      </c>
      <c r="AJ406" s="83">
        <f>IF(AN406=0,M406,0)</f>
        <v>0</v>
      </c>
      <c r="AK406" s="83">
        <f>IF(AN406=15,M406,0)</f>
        <v>0</v>
      </c>
      <c r="AL406" s="83">
        <f>IF(AN406=21,M406,0)</f>
        <v>0</v>
      </c>
      <c r="AN406" s="83">
        <v>21</v>
      </c>
      <c r="AO406" s="83">
        <f>L406*0.429438202247191</f>
        <v>0</v>
      </c>
      <c r="AP406" s="83">
        <f>L406*(1-0.429438202247191)</f>
        <v>0</v>
      </c>
      <c r="AQ406" s="85" t="s">
        <v>52</v>
      </c>
      <c r="AV406" s="83">
        <f>AW406+AX406</f>
        <v>0</v>
      </c>
      <c r="AW406" s="83">
        <f>K406*AO406</f>
        <v>0</v>
      </c>
      <c r="AX406" s="83">
        <f>K406*AP406</f>
        <v>0</v>
      </c>
      <c r="AY406" s="85" t="s">
        <v>581</v>
      </c>
      <c r="AZ406" s="85" t="s">
        <v>510</v>
      </c>
      <c r="BA406" s="72" t="s">
        <v>58</v>
      </c>
      <c r="BC406" s="83">
        <f>AW406+AX406</f>
        <v>0</v>
      </c>
      <c r="BD406" s="83">
        <f>L406/(100-BE406)*100</f>
        <v>0</v>
      </c>
      <c r="BE406" s="83">
        <v>0</v>
      </c>
      <c r="BF406" s="83">
        <f>406</f>
        <v>406</v>
      </c>
      <c r="BH406" s="83">
        <f>K406*AO406</f>
        <v>0</v>
      </c>
      <c r="BI406" s="83">
        <f>K406*AP406</f>
        <v>0</v>
      </c>
      <c r="BJ406" s="83">
        <f>K406*L406</f>
        <v>0</v>
      </c>
      <c r="BK406" s="83"/>
      <c r="BL406" s="83">
        <v>59</v>
      </c>
    </row>
    <row r="407" spans="1:13" ht="15" customHeight="1">
      <c r="A407" s="95"/>
      <c r="B407" s="96"/>
      <c r="C407" s="97" t="s">
        <v>681</v>
      </c>
      <c r="I407" s="97" t="s">
        <v>682</v>
      </c>
      <c r="J407" s="96"/>
      <c r="K407" s="98">
        <v>0.9600000000000001</v>
      </c>
      <c r="L407" s="96"/>
      <c r="M407" s="99"/>
    </row>
    <row r="408" spans="1:64" ht="15" customHeight="1">
      <c r="A408" s="65" t="s">
        <v>674</v>
      </c>
      <c r="B408" s="66" t="s">
        <v>683</v>
      </c>
      <c r="C408" s="150" t="s">
        <v>684</v>
      </c>
      <c r="D408" s="150"/>
      <c r="E408" s="150"/>
      <c r="F408" s="150"/>
      <c r="G408" s="150"/>
      <c r="H408" s="150"/>
      <c r="I408" s="150"/>
      <c r="J408" s="66" t="s">
        <v>79</v>
      </c>
      <c r="K408" s="83">
        <v>3</v>
      </c>
      <c r="L408" s="108"/>
      <c r="M408" s="84">
        <f>K408*L408</f>
        <v>0</v>
      </c>
      <c r="Z408" s="83">
        <f>IF(AQ408="5",BJ408,0)</f>
        <v>0</v>
      </c>
      <c r="AB408" s="83">
        <f>IF(AQ408="1",BH408,0)</f>
        <v>0</v>
      </c>
      <c r="AC408" s="83">
        <f>IF(AQ408="1",BI408,0)</f>
        <v>0</v>
      </c>
      <c r="AD408" s="83">
        <f>IF(AQ408="7",BH408,0)</f>
        <v>0</v>
      </c>
      <c r="AE408" s="83">
        <f>IF(AQ408="7",BI408,0)</f>
        <v>0</v>
      </c>
      <c r="AF408" s="83">
        <f>IF(AQ408="2",BH408,0)</f>
        <v>0</v>
      </c>
      <c r="AG408" s="83">
        <f>IF(AQ408="2",BI408,0)</f>
        <v>0</v>
      </c>
      <c r="AH408" s="83">
        <f>IF(AQ408="0",BJ408,0)</f>
        <v>0</v>
      </c>
      <c r="AI408" s="72" t="s">
        <v>49</v>
      </c>
      <c r="AJ408" s="83">
        <f>IF(AN408=0,M408,0)</f>
        <v>0</v>
      </c>
      <c r="AK408" s="83">
        <f>IF(AN408=15,M408,0)</f>
        <v>0</v>
      </c>
      <c r="AL408" s="83">
        <f>IF(AN408=21,M408,0)</f>
        <v>0</v>
      </c>
      <c r="AN408" s="83">
        <v>21</v>
      </c>
      <c r="AO408" s="83">
        <f>L408*0.115277108433735</f>
        <v>0</v>
      </c>
      <c r="AP408" s="83">
        <f>L408*(1-0.115277108433735)</f>
        <v>0</v>
      </c>
      <c r="AQ408" s="85" t="s">
        <v>52</v>
      </c>
      <c r="AV408" s="83">
        <f>AW408+AX408</f>
        <v>0</v>
      </c>
      <c r="AW408" s="83">
        <f>K408*AO408</f>
        <v>0</v>
      </c>
      <c r="AX408" s="83">
        <f>K408*AP408</f>
        <v>0</v>
      </c>
      <c r="AY408" s="85" t="s">
        <v>581</v>
      </c>
      <c r="AZ408" s="85" t="s">
        <v>510</v>
      </c>
      <c r="BA408" s="72" t="s">
        <v>58</v>
      </c>
      <c r="BC408" s="83">
        <f>AW408+AX408</f>
        <v>0</v>
      </c>
      <c r="BD408" s="83">
        <f>L408/(100-BE408)*100</f>
        <v>0</v>
      </c>
      <c r="BE408" s="83">
        <v>0</v>
      </c>
      <c r="BF408" s="83">
        <f>408</f>
        <v>408</v>
      </c>
      <c r="BH408" s="83">
        <f>K408*AO408</f>
        <v>0</v>
      </c>
      <c r="BI408" s="83">
        <f>K408*AP408</f>
        <v>0</v>
      </c>
      <c r="BJ408" s="83">
        <f>K408*L408</f>
        <v>0</v>
      </c>
      <c r="BK408" s="83"/>
      <c r="BL408" s="83">
        <v>59</v>
      </c>
    </row>
    <row r="409" spans="1:13" ht="15" customHeight="1">
      <c r="A409" s="86"/>
      <c r="C409" s="87" t="s">
        <v>65</v>
      </c>
      <c r="I409" s="87" t="s">
        <v>685</v>
      </c>
      <c r="K409" s="88">
        <v>3.0000000000000004</v>
      </c>
      <c r="M409" s="89"/>
    </row>
    <row r="410" spans="1:13" ht="40.5" customHeight="1">
      <c r="A410" s="86"/>
      <c r="B410" s="90" t="s">
        <v>60</v>
      </c>
      <c r="C410" s="161" t="s">
        <v>686</v>
      </c>
      <c r="D410" s="162"/>
      <c r="E410" s="162"/>
      <c r="F410" s="162"/>
      <c r="G410" s="162"/>
      <c r="H410" s="162"/>
      <c r="I410" s="162"/>
      <c r="J410" s="162"/>
      <c r="K410" s="162"/>
      <c r="L410" s="162"/>
      <c r="M410" s="163"/>
    </row>
    <row r="411" spans="1:64" ht="15" customHeight="1">
      <c r="A411" s="65" t="s">
        <v>678</v>
      </c>
      <c r="B411" s="66" t="s">
        <v>688</v>
      </c>
      <c r="C411" s="150" t="s">
        <v>689</v>
      </c>
      <c r="D411" s="150"/>
      <c r="E411" s="150"/>
      <c r="F411" s="150"/>
      <c r="G411" s="150"/>
      <c r="H411" s="150"/>
      <c r="I411" s="150"/>
      <c r="J411" s="66" t="s">
        <v>79</v>
      </c>
      <c r="K411" s="83">
        <v>14</v>
      </c>
      <c r="L411" s="108"/>
      <c r="M411" s="84">
        <f>K411*L411</f>
        <v>0</v>
      </c>
      <c r="Z411" s="83">
        <f>IF(AQ411="5",BJ411,0)</f>
        <v>0</v>
      </c>
      <c r="AB411" s="83">
        <f>IF(AQ411="1",BH411,0)</f>
        <v>0</v>
      </c>
      <c r="AC411" s="83">
        <f>IF(AQ411="1",BI411,0)</f>
        <v>0</v>
      </c>
      <c r="AD411" s="83">
        <f>IF(AQ411="7",BH411,0)</f>
        <v>0</v>
      </c>
      <c r="AE411" s="83">
        <f>IF(AQ411="7",BI411,0)</f>
        <v>0</v>
      </c>
      <c r="AF411" s="83">
        <f>IF(AQ411="2",BH411,0)</f>
        <v>0</v>
      </c>
      <c r="AG411" s="83">
        <f>IF(AQ411="2",BI411,0)</f>
        <v>0</v>
      </c>
      <c r="AH411" s="83">
        <f>IF(AQ411="0",BJ411,0)</f>
        <v>0</v>
      </c>
      <c r="AI411" s="72" t="s">
        <v>49</v>
      </c>
      <c r="AJ411" s="83">
        <f>IF(AN411=0,M411,0)</f>
        <v>0</v>
      </c>
      <c r="AK411" s="83">
        <f>IF(AN411=15,M411,0)</f>
        <v>0</v>
      </c>
      <c r="AL411" s="83">
        <f>IF(AN411=21,M411,0)</f>
        <v>0</v>
      </c>
      <c r="AN411" s="83">
        <v>21</v>
      </c>
      <c r="AO411" s="83">
        <f>L411*0.52612702366127</f>
        <v>0</v>
      </c>
      <c r="AP411" s="83">
        <f>L411*(1-0.52612702366127)</f>
        <v>0</v>
      </c>
      <c r="AQ411" s="85" t="s">
        <v>52</v>
      </c>
      <c r="AV411" s="83">
        <f>AW411+AX411</f>
        <v>0</v>
      </c>
      <c r="AW411" s="83">
        <f>K411*AO411</f>
        <v>0</v>
      </c>
      <c r="AX411" s="83">
        <f>K411*AP411</f>
        <v>0</v>
      </c>
      <c r="AY411" s="85" t="s">
        <v>581</v>
      </c>
      <c r="AZ411" s="85" t="s">
        <v>510</v>
      </c>
      <c r="BA411" s="72" t="s">
        <v>58</v>
      </c>
      <c r="BC411" s="83">
        <f>AW411+AX411</f>
        <v>0</v>
      </c>
      <c r="BD411" s="83">
        <f>L411/(100-BE411)*100</f>
        <v>0</v>
      </c>
      <c r="BE411" s="83">
        <v>0</v>
      </c>
      <c r="BF411" s="83">
        <f>411</f>
        <v>411</v>
      </c>
      <c r="BH411" s="83">
        <f>K411*AO411</f>
        <v>0</v>
      </c>
      <c r="BI411" s="83">
        <f>K411*AP411</f>
        <v>0</v>
      </c>
      <c r="BJ411" s="83">
        <f>K411*L411</f>
        <v>0</v>
      </c>
      <c r="BK411" s="83"/>
      <c r="BL411" s="83">
        <v>59</v>
      </c>
    </row>
    <row r="412" spans="1:13" ht="15" customHeight="1">
      <c r="A412" s="86"/>
      <c r="C412" s="87" t="s">
        <v>142</v>
      </c>
      <c r="I412" s="87" t="s">
        <v>690</v>
      </c>
      <c r="K412" s="88">
        <v>14.000000000000002</v>
      </c>
      <c r="M412" s="89"/>
    </row>
    <row r="413" spans="1:13" ht="40.5" customHeight="1">
      <c r="A413" s="86"/>
      <c r="B413" s="90" t="s">
        <v>60</v>
      </c>
      <c r="C413" s="161" t="s">
        <v>691</v>
      </c>
      <c r="D413" s="162"/>
      <c r="E413" s="162"/>
      <c r="F413" s="162"/>
      <c r="G413" s="162"/>
      <c r="H413" s="162"/>
      <c r="I413" s="162"/>
      <c r="J413" s="162"/>
      <c r="K413" s="162"/>
      <c r="L413" s="162"/>
      <c r="M413" s="163"/>
    </row>
    <row r="414" spans="1:64" ht="15" customHeight="1">
      <c r="A414" s="65" t="s">
        <v>154</v>
      </c>
      <c r="B414" s="66" t="s">
        <v>693</v>
      </c>
      <c r="C414" s="150" t="s">
        <v>694</v>
      </c>
      <c r="D414" s="150"/>
      <c r="E414" s="150"/>
      <c r="F414" s="150"/>
      <c r="G414" s="150"/>
      <c r="H414" s="150"/>
      <c r="I414" s="150"/>
      <c r="J414" s="66" t="s">
        <v>79</v>
      </c>
      <c r="K414" s="83">
        <v>14.7</v>
      </c>
      <c r="L414" s="108"/>
      <c r="M414" s="84">
        <f>K414*L414</f>
        <v>0</v>
      </c>
      <c r="Z414" s="83">
        <f>IF(AQ414="5",BJ414,0)</f>
        <v>0</v>
      </c>
      <c r="AB414" s="83">
        <f>IF(AQ414="1",BH414,0)</f>
        <v>0</v>
      </c>
      <c r="AC414" s="83">
        <f>IF(AQ414="1",BI414,0)</f>
        <v>0</v>
      </c>
      <c r="AD414" s="83">
        <f>IF(AQ414="7",BH414,0)</f>
        <v>0</v>
      </c>
      <c r="AE414" s="83">
        <f>IF(AQ414="7",BI414,0)</f>
        <v>0</v>
      </c>
      <c r="AF414" s="83">
        <f>IF(AQ414="2",BH414,0)</f>
        <v>0</v>
      </c>
      <c r="AG414" s="83">
        <f>IF(AQ414="2",BI414,0)</f>
        <v>0</v>
      </c>
      <c r="AH414" s="83">
        <f>IF(AQ414="0",BJ414,0)</f>
        <v>0</v>
      </c>
      <c r="AI414" s="72" t="s">
        <v>49</v>
      </c>
      <c r="AJ414" s="83">
        <f>IF(AN414=0,M414,0)</f>
        <v>0</v>
      </c>
      <c r="AK414" s="83">
        <f>IF(AN414=15,M414,0)</f>
        <v>0</v>
      </c>
      <c r="AL414" s="83">
        <f>IF(AN414=21,M414,0)</f>
        <v>0</v>
      </c>
      <c r="AN414" s="83">
        <v>21</v>
      </c>
      <c r="AO414" s="83">
        <f>L414*1</f>
        <v>0</v>
      </c>
      <c r="AP414" s="83">
        <f>L414*(1-1)</f>
        <v>0</v>
      </c>
      <c r="AQ414" s="85" t="s">
        <v>52</v>
      </c>
      <c r="AV414" s="83">
        <f>AW414+AX414</f>
        <v>0</v>
      </c>
      <c r="AW414" s="83">
        <f>K414*AO414</f>
        <v>0</v>
      </c>
      <c r="AX414" s="83">
        <f>K414*AP414</f>
        <v>0</v>
      </c>
      <c r="AY414" s="85" t="s">
        <v>581</v>
      </c>
      <c r="AZ414" s="85" t="s">
        <v>510</v>
      </c>
      <c r="BA414" s="72" t="s">
        <v>58</v>
      </c>
      <c r="BC414" s="83">
        <f>AW414+AX414</f>
        <v>0</v>
      </c>
      <c r="BD414" s="83">
        <f>L414/(100-BE414)*100</f>
        <v>0</v>
      </c>
      <c r="BE414" s="83">
        <v>0</v>
      </c>
      <c r="BF414" s="83">
        <f>414</f>
        <v>414</v>
      </c>
      <c r="BH414" s="83">
        <f>K414*AO414</f>
        <v>0</v>
      </c>
      <c r="BI414" s="83">
        <f>K414*AP414</f>
        <v>0</v>
      </c>
      <c r="BJ414" s="83">
        <f>K414*L414</f>
        <v>0</v>
      </c>
      <c r="BK414" s="83"/>
      <c r="BL414" s="83">
        <v>59</v>
      </c>
    </row>
    <row r="415" spans="1:13" ht="15" customHeight="1">
      <c r="A415" s="86"/>
      <c r="C415" s="87" t="s">
        <v>142</v>
      </c>
      <c r="I415" s="87" t="s">
        <v>49</v>
      </c>
      <c r="K415" s="88">
        <v>14.000000000000002</v>
      </c>
      <c r="M415" s="89"/>
    </row>
    <row r="416" spans="1:13" ht="15" customHeight="1">
      <c r="A416" s="86"/>
      <c r="C416" s="87" t="s">
        <v>695</v>
      </c>
      <c r="I416" s="87" t="s">
        <v>49</v>
      </c>
      <c r="K416" s="88">
        <v>0.7000000000000001</v>
      </c>
      <c r="M416" s="89"/>
    </row>
    <row r="417" spans="1:13" ht="13.5" customHeight="1">
      <c r="A417" s="86"/>
      <c r="B417" s="90" t="s">
        <v>60</v>
      </c>
      <c r="C417" s="161" t="s">
        <v>127</v>
      </c>
      <c r="D417" s="162"/>
      <c r="E417" s="162"/>
      <c r="F417" s="162"/>
      <c r="G417" s="162"/>
      <c r="H417" s="162"/>
      <c r="I417" s="162"/>
      <c r="J417" s="162"/>
      <c r="K417" s="162"/>
      <c r="L417" s="162"/>
      <c r="M417" s="163"/>
    </row>
    <row r="418" spans="1:64" ht="15" customHeight="1">
      <c r="A418" s="65" t="s">
        <v>687</v>
      </c>
      <c r="B418" s="66" t="s">
        <v>697</v>
      </c>
      <c r="C418" s="150" t="s">
        <v>698</v>
      </c>
      <c r="D418" s="150"/>
      <c r="E418" s="150"/>
      <c r="F418" s="150"/>
      <c r="G418" s="150"/>
      <c r="H418" s="150"/>
      <c r="I418" s="150"/>
      <c r="J418" s="66" t="s">
        <v>79</v>
      </c>
      <c r="K418" s="83">
        <v>0.16</v>
      </c>
      <c r="L418" s="108"/>
      <c r="M418" s="84">
        <f>K418*L418</f>
        <v>0</v>
      </c>
      <c r="Z418" s="83">
        <f>IF(AQ418="5",BJ418,0)</f>
        <v>0</v>
      </c>
      <c r="AB418" s="83">
        <f>IF(AQ418="1",BH418,0)</f>
        <v>0</v>
      </c>
      <c r="AC418" s="83">
        <f>IF(AQ418="1",BI418,0)</f>
        <v>0</v>
      </c>
      <c r="AD418" s="83">
        <f>IF(AQ418="7",BH418,0)</f>
        <v>0</v>
      </c>
      <c r="AE418" s="83">
        <f>IF(AQ418="7",BI418,0)</f>
        <v>0</v>
      </c>
      <c r="AF418" s="83">
        <f>IF(AQ418="2",BH418,0)</f>
        <v>0</v>
      </c>
      <c r="AG418" s="83">
        <f>IF(AQ418="2",BI418,0)</f>
        <v>0</v>
      </c>
      <c r="AH418" s="83">
        <f>IF(AQ418="0",BJ418,0)</f>
        <v>0</v>
      </c>
      <c r="AI418" s="72" t="s">
        <v>49</v>
      </c>
      <c r="AJ418" s="83">
        <f>IF(AN418=0,M418,0)</f>
        <v>0</v>
      </c>
      <c r="AK418" s="83">
        <f>IF(AN418=15,M418,0)</f>
        <v>0</v>
      </c>
      <c r="AL418" s="83">
        <f>IF(AN418=21,M418,0)</f>
        <v>0</v>
      </c>
      <c r="AN418" s="83">
        <v>21</v>
      </c>
      <c r="AO418" s="83">
        <f>L418*0.428213228035538</f>
        <v>0</v>
      </c>
      <c r="AP418" s="83">
        <f>L418*(1-0.428213228035538)</f>
        <v>0</v>
      </c>
      <c r="AQ418" s="85" t="s">
        <v>52</v>
      </c>
      <c r="AV418" s="83">
        <f>AW418+AX418</f>
        <v>0</v>
      </c>
      <c r="AW418" s="83">
        <f>K418*AO418</f>
        <v>0</v>
      </c>
      <c r="AX418" s="83">
        <f>K418*AP418</f>
        <v>0</v>
      </c>
      <c r="AY418" s="85" t="s">
        <v>581</v>
      </c>
      <c r="AZ418" s="85" t="s">
        <v>510</v>
      </c>
      <c r="BA418" s="72" t="s">
        <v>58</v>
      </c>
      <c r="BC418" s="83">
        <f>AW418+AX418</f>
        <v>0</v>
      </c>
      <c r="BD418" s="83">
        <f>L418/(100-BE418)*100</f>
        <v>0</v>
      </c>
      <c r="BE418" s="83">
        <v>0</v>
      </c>
      <c r="BF418" s="83">
        <f>418</f>
        <v>418</v>
      </c>
      <c r="BH418" s="83">
        <f>K418*AO418</f>
        <v>0</v>
      </c>
      <c r="BI418" s="83">
        <f>K418*AP418</f>
        <v>0</v>
      </c>
      <c r="BJ418" s="83">
        <f>K418*L418</f>
        <v>0</v>
      </c>
      <c r="BK418" s="83"/>
      <c r="BL418" s="83">
        <v>59</v>
      </c>
    </row>
    <row r="419" spans="1:13" ht="15" customHeight="1">
      <c r="A419" s="86"/>
      <c r="C419" s="87" t="s">
        <v>699</v>
      </c>
      <c r="I419" s="87" t="s">
        <v>700</v>
      </c>
      <c r="K419" s="88">
        <v>0.16</v>
      </c>
      <c r="M419" s="89"/>
    </row>
    <row r="420" spans="1:13" ht="27" customHeight="1">
      <c r="A420" s="86"/>
      <c r="B420" s="90" t="s">
        <v>60</v>
      </c>
      <c r="C420" s="161" t="s">
        <v>701</v>
      </c>
      <c r="D420" s="162"/>
      <c r="E420" s="162"/>
      <c r="F420" s="162"/>
      <c r="G420" s="162"/>
      <c r="H420" s="162"/>
      <c r="I420" s="162"/>
      <c r="J420" s="162"/>
      <c r="K420" s="162"/>
      <c r="L420" s="162"/>
      <c r="M420" s="163"/>
    </row>
    <row r="421" spans="1:64" ht="15" customHeight="1">
      <c r="A421" s="65" t="s">
        <v>692</v>
      </c>
      <c r="B421" s="66" t="s">
        <v>703</v>
      </c>
      <c r="C421" s="150" t="s">
        <v>704</v>
      </c>
      <c r="D421" s="150"/>
      <c r="E421" s="150"/>
      <c r="F421" s="150"/>
      <c r="G421" s="150"/>
      <c r="H421" s="150"/>
      <c r="I421" s="150"/>
      <c r="J421" s="66" t="s">
        <v>191</v>
      </c>
      <c r="K421" s="83">
        <v>22</v>
      </c>
      <c r="L421" s="108"/>
      <c r="M421" s="84">
        <f>K421*L421</f>
        <v>0</v>
      </c>
      <c r="Z421" s="83">
        <f>IF(AQ421="5",BJ421,0)</f>
        <v>0</v>
      </c>
      <c r="AB421" s="83">
        <f>IF(AQ421="1",BH421,0)</f>
        <v>0</v>
      </c>
      <c r="AC421" s="83">
        <f>IF(AQ421="1",BI421,0)</f>
        <v>0</v>
      </c>
      <c r="AD421" s="83">
        <f>IF(AQ421="7",BH421,0)</f>
        <v>0</v>
      </c>
      <c r="AE421" s="83">
        <f>IF(AQ421="7",BI421,0)</f>
        <v>0</v>
      </c>
      <c r="AF421" s="83">
        <f>IF(AQ421="2",BH421,0)</f>
        <v>0</v>
      </c>
      <c r="AG421" s="83">
        <f>IF(AQ421="2",BI421,0)</f>
        <v>0</v>
      </c>
      <c r="AH421" s="83">
        <f>IF(AQ421="0",BJ421,0)</f>
        <v>0</v>
      </c>
      <c r="AI421" s="72" t="s">
        <v>49</v>
      </c>
      <c r="AJ421" s="83">
        <f>IF(AN421=0,M421,0)</f>
        <v>0</v>
      </c>
      <c r="AK421" s="83">
        <f>IF(AN421=15,M421,0)</f>
        <v>0</v>
      </c>
      <c r="AL421" s="83">
        <f>IF(AN421=21,M421,0)</f>
        <v>0</v>
      </c>
      <c r="AN421" s="83">
        <v>21</v>
      </c>
      <c r="AO421" s="83">
        <f>L421*0.066595846001685</f>
        <v>0</v>
      </c>
      <c r="AP421" s="83">
        <f>L421*(1-0.066595846001685)</f>
        <v>0</v>
      </c>
      <c r="AQ421" s="85" t="s">
        <v>52</v>
      </c>
      <c r="AV421" s="83">
        <f>AW421+AX421</f>
        <v>0</v>
      </c>
      <c r="AW421" s="83">
        <f>K421*AO421</f>
        <v>0</v>
      </c>
      <c r="AX421" s="83">
        <f>K421*AP421</f>
        <v>0</v>
      </c>
      <c r="AY421" s="85" t="s">
        <v>581</v>
      </c>
      <c r="AZ421" s="85" t="s">
        <v>510</v>
      </c>
      <c r="BA421" s="72" t="s">
        <v>58</v>
      </c>
      <c r="BC421" s="83">
        <f>AW421+AX421</f>
        <v>0</v>
      </c>
      <c r="BD421" s="83">
        <f>L421/(100-BE421)*100</f>
        <v>0</v>
      </c>
      <c r="BE421" s="83">
        <v>0</v>
      </c>
      <c r="BF421" s="83">
        <f>421</f>
        <v>421</v>
      </c>
      <c r="BH421" s="83">
        <f>K421*AO421</f>
        <v>0</v>
      </c>
      <c r="BI421" s="83">
        <f>K421*AP421</f>
        <v>0</v>
      </c>
      <c r="BJ421" s="83">
        <f>K421*L421</f>
        <v>0</v>
      </c>
      <c r="BK421" s="83"/>
      <c r="BL421" s="83">
        <v>59</v>
      </c>
    </row>
    <row r="422" spans="1:13" ht="15" customHeight="1">
      <c r="A422" s="86"/>
      <c r="C422" s="87" t="s">
        <v>62</v>
      </c>
      <c r="I422" s="87" t="s">
        <v>49</v>
      </c>
      <c r="K422" s="88">
        <v>2</v>
      </c>
      <c r="M422" s="89"/>
    </row>
    <row r="423" spans="1:13" ht="15" customHeight="1">
      <c r="A423" s="86"/>
      <c r="C423" s="87" t="s">
        <v>176</v>
      </c>
      <c r="I423" s="87" t="s">
        <v>705</v>
      </c>
      <c r="K423" s="88">
        <v>20</v>
      </c>
      <c r="M423" s="89"/>
    </row>
    <row r="424" spans="1:47" ht="15" customHeight="1">
      <c r="A424" s="78" t="s">
        <v>49</v>
      </c>
      <c r="B424" s="79" t="s">
        <v>706</v>
      </c>
      <c r="C424" s="168" t="s">
        <v>707</v>
      </c>
      <c r="D424" s="168"/>
      <c r="E424" s="168"/>
      <c r="F424" s="168"/>
      <c r="G424" s="168"/>
      <c r="H424" s="168"/>
      <c r="I424" s="168"/>
      <c r="J424" s="80" t="s">
        <v>3</v>
      </c>
      <c r="K424" s="80" t="s">
        <v>3</v>
      </c>
      <c r="L424" s="80" t="s">
        <v>3</v>
      </c>
      <c r="M424" s="81">
        <f>SUM(M425:M428)</f>
        <v>0</v>
      </c>
      <c r="AI424" s="72" t="s">
        <v>49</v>
      </c>
      <c r="AS424" s="82">
        <f>SUM(AJ425:AJ428)</f>
        <v>0</v>
      </c>
      <c r="AT424" s="82">
        <f>SUM(AK425:AK428)</f>
        <v>0</v>
      </c>
      <c r="AU424" s="82">
        <f>SUM(AL425:AL428)</f>
        <v>0</v>
      </c>
    </row>
    <row r="425" spans="1:64" ht="15" customHeight="1">
      <c r="A425" s="65" t="s">
        <v>696</v>
      </c>
      <c r="B425" s="66" t="s">
        <v>709</v>
      </c>
      <c r="C425" s="150" t="s">
        <v>710</v>
      </c>
      <c r="D425" s="150"/>
      <c r="E425" s="150"/>
      <c r="F425" s="150"/>
      <c r="G425" s="150"/>
      <c r="H425" s="150"/>
      <c r="I425" s="150"/>
      <c r="J425" s="66" t="s">
        <v>79</v>
      </c>
      <c r="K425" s="83">
        <v>12</v>
      </c>
      <c r="L425" s="108"/>
      <c r="M425" s="84">
        <f>K425*L425</f>
        <v>0</v>
      </c>
      <c r="Z425" s="83">
        <f>IF(AQ425="5",BJ425,0)</f>
        <v>0</v>
      </c>
      <c r="AB425" s="83">
        <f>IF(AQ425="1",BH425,0)</f>
        <v>0</v>
      </c>
      <c r="AC425" s="83">
        <f>IF(AQ425="1",BI425,0)</f>
        <v>0</v>
      </c>
      <c r="AD425" s="83">
        <f>IF(AQ425="7",BH425,0)</f>
        <v>0</v>
      </c>
      <c r="AE425" s="83">
        <f>IF(AQ425="7",BI425,0)</f>
        <v>0</v>
      </c>
      <c r="AF425" s="83">
        <f>IF(AQ425="2",BH425,0)</f>
        <v>0</v>
      </c>
      <c r="AG425" s="83">
        <f>IF(AQ425="2",BI425,0)</f>
        <v>0</v>
      </c>
      <c r="AH425" s="83">
        <f>IF(AQ425="0",BJ425,0)</f>
        <v>0</v>
      </c>
      <c r="AI425" s="72" t="s">
        <v>49</v>
      </c>
      <c r="AJ425" s="83">
        <f>IF(AN425=0,M425,0)</f>
        <v>0</v>
      </c>
      <c r="AK425" s="83">
        <f>IF(AN425=15,M425,0)</f>
        <v>0</v>
      </c>
      <c r="AL425" s="83">
        <f>IF(AN425=21,M425,0)</f>
        <v>0</v>
      </c>
      <c r="AN425" s="83">
        <v>21</v>
      </c>
      <c r="AO425" s="83">
        <f>L425*0.663326732673267</f>
        <v>0</v>
      </c>
      <c r="AP425" s="83">
        <f>L425*(1-0.663326732673267)</f>
        <v>0</v>
      </c>
      <c r="AQ425" s="85" t="s">
        <v>82</v>
      </c>
      <c r="AV425" s="83">
        <f>AW425+AX425</f>
        <v>0</v>
      </c>
      <c r="AW425" s="83">
        <f>K425*AO425</f>
        <v>0</v>
      </c>
      <c r="AX425" s="83">
        <f>K425*AP425</f>
        <v>0</v>
      </c>
      <c r="AY425" s="85" t="s">
        <v>711</v>
      </c>
      <c r="AZ425" s="85" t="s">
        <v>712</v>
      </c>
      <c r="BA425" s="72" t="s">
        <v>58</v>
      </c>
      <c r="BC425" s="83">
        <f>AW425+AX425</f>
        <v>0</v>
      </c>
      <c r="BD425" s="83">
        <f>L425/(100-BE425)*100</f>
        <v>0</v>
      </c>
      <c r="BE425" s="83">
        <v>0</v>
      </c>
      <c r="BF425" s="83">
        <f>425</f>
        <v>425</v>
      </c>
      <c r="BH425" s="83">
        <f>K425*AO425</f>
        <v>0</v>
      </c>
      <c r="BI425" s="83">
        <f>K425*AP425</f>
        <v>0</v>
      </c>
      <c r="BJ425" s="83">
        <f>K425*L425</f>
        <v>0</v>
      </c>
      <c r="BK425" s="83"/>
      <c r="BL425" s="83">
        <v>711</v>
      </c>
    </row>
    <row r="426" spans="1:13" ht="13.5" customHeight="1">
      <c r="A426" s="86"/>
      <c r="B426" s="90" t="s">
        <v>273</v>
      </c>
      <c r="C426" s="161" t="s">
        <v>713</v>
      </c>
      <c r="D426" s="162"/>
      <c r="E426" s="162"/>
      <c r="F426" s="162"/>
      <c r="G426" s="162"/>
      <c r="H426" s="162"/>
      <c r="I426" s="162"/>
      <c r="J426" s="162"/>
      <c r="K426" s="162"/>
      <c r="L426" s="162"/>
      <c r="M426" s="163"/>
    </row>
    <row r="427" spans="1:13" ht="15" customHeight="1">
      <c r="A427" s="86"/>
      <c r="C427" s="87" t="s">
        <v>714</v>
      </c>
      <c r="I427" s="87" t="s">
        <v>49</v>
      </c>
      <c r="K427" s="88">
        <v>12.000000000000002</v>
      </c>
      <c r="M427" s="89"/>
    </row>
    <row r="428" spans="1:64" ht="15" customHeight="1">
      <c r="A428" s="65" t="s">
        <v>702</v>
      </c>
      <c r="B428" s="66" t="s">
        <v>716</v>
      </c>
      <c r="C428" s="150" t="s">
        <v>717</v>
      </c>
      <c r="D428" s="150"/>
      <c r="E428" s="150"/>
      <c r="F428" s="150"/>
      <c r="G428" s="150"/>
      <c r="H428" s="150"/>
      <c r="I428" s="150"/>
      <c r="J428" s="66" t="s">
        <v>191</v>
      </c>
      <c r="K428" s="83">
        <v>24</v>
      </c>
      <c r="L428" s="108"/>
      <c r="M428" s="84">
        <f>K428*L428</f>
        <v>0</v>
      </c>
      <c r="Z428" s="83">
        <f>IF(AQ428="5",BJ428,0)</f>
        <v>0</v>
      </c>
      <c r="AB428" s="83">
        <f>IF(AQ428="1",BH428,0)</f>
        <v>0</v>
      </c>
      <c r="AC428" s="83">
        <f>IF(AQ428="1",BI428,0)</f>
        <v>0</v>
      </c>
      <c r="AD428" s="83">
        <f>IF(AQ428="7",BH428,0)</f>
        <v>0</v>
      </c>
      <c r="AE428" s="83">
        <f>IF(AQ428="7",BI428,0)</f>
        <v>0</v>
      </c>
      <c r="AF428" s="83">
        <f>IF(AQ428="2",BH428,0)</f>
        <v>0</v>
      </c>
      <c r="AG428" s="83">
        <f>IF(AQ428="2",BI428,0)</f>
        <v>0</v>
      </c>
      <c r="AH428" s="83">
        <f>IF(AQ428="0",BJ428,0)</f>
        <v>0</v>
      </c>
      <c r="AI428" s="72" t="s">
        <v>49</v>
      </c>
      <c r="AJ428" s="83">
        <f>IF(AN428=0,M428,0)</f>
        <v>0</v>
      </c>
      <c r="AK428" s="83">
        <f>IF(AN428=15,M428,0)</f>
        <v>0</v>
      </c>
      <c r="AL428" s="83">
        <f>IF(AN428=21,M428,0)</f>
        <v>0</v>
      </c>
      <c r="AN428" s="83">
        <v>21</v>
      </c>
      <c r="AO428" s="83">
        <f>L428*0.684688427299703</f>
        <v>0</v>
      </c>
      <c r="AP428" s="83">
        <f>L428*(1-0.684688427299703)</f>
        <v>0</v>
      </c>
      <c r="AQ428" s="85" t="s">
        <v>82</v>
      </c>
      <c r="AV428" s="83">
        <f>AW428+AX428</f>
        <v>0</v>
      </c>
      <c r="AW428" s="83">
        <f>K428*AO428</f>
        <v>0</v>
      </c>
      <c r="AX428" s="83">
        <f>K428*AP428</f>
        <v>0</v>
      </c>
      <c r="AY428" s="85" t="s">
        <v>711</v>
      </c>
      <c r="AZ428" s="85" t="s">
        <v>712</v>
      </c>
      <c r="BA428" s="72" t="s">
        <v>58</v>
      </c>
      <c r="BC428" s="83">
        <f>AW428+AX428</f>
        <v>0</v>
      </c>
      <c r="BD428" s="83">
        <f>L428/(100-BE428)*100</f>
        <v>0</v>
      </c>
      <c r="BE428" s="83">
        <v>0</v>
      </c>
      <c r="BF428" s="83">
        <f>428</f>
        <v>428</v>
      </c>
      <c r="BH428" s="83">
        <f>K428*AO428</f>
        <v>0</v>
      </c>
      <c r="BI428" s="83">
        <f>K428*AP428</f>
        <v>0</v>
      </c>
      <c r="BJ428" s="83">
        <f>K428*L428</f>
        <v>0</v>
      </c>
      <c r="BK428" s="83"/>
      <c r="BL428" s="83">
        <v>711</v>
      </c>
    </row>
    <row r="429" spans="1:13" ht="13.5" customHeight="1">
      <c r="A429" s="86"/>
      <c r="B429" s="90" t="s">
        <v>273</v>
      </c>
      <c r="C429" s="161" t="s">
        <v>718</v>
      </c>
      <c r="D429" s="162"/>
      <c r="E429" s="162"/>
      <c r="F429" s="162"/>
      <c r="G429" s="162"/>
      <c r="H429" s="162"/>
      <c r="I429" s="162"/>
      <c r="J429" s="162"/>
      <c r="K429" s="162"/>
      <c r="L429" s="162"/>
      <c r="M429" s="163"/>
    </row>
    <row r="430" spans="1:13" ht="15" customHeight="1">
      <c r="A430" s="86"/>
      <c r="C430" s="87" t="s">
        <v>201</v>
      </c>
      <c r="I430" s="87" t="s">
        <v>49</v>
      </c>
      <c r="K430" s="88">
        <v>24.000000000000004</v>
      </c>
      <c r="M430" s="89"/>
    </row>
    <row r="431" spans="1:47" ht="15" customHeight="1">
      <c r="A431" s="78" t="s">
        <v>49</v>
      </c>
      <c r="B431" s="79" t="s">
        <v>149</v>
      </c>
      <c r="C431" s="168" t="s">
        <v>719</v>
      </c>
      <c r="D431" s="168"/>
      <c r="E431" s="168"/>
      <c r="F431" s="168"/>
      <c r="G431" s="168"/>
      <c r="H431" s="168"/>
      <c r="I431" s="168"/>
      <c r="J431" s="80" t="s">
        <v>3</v>
      </c>
      <c r="K431" s="80" t="s">
        <v>3</v>
      </c>
      <c r="L431" s="80" t="s">
        <v>3</v>
      </c>
      <c r="M431" s="81">
        <f>SUM(M432:M436)</f>
        <v>0</v>
      </c>
      <c r="AI431" s="72" t="s">
        <v>49</v>
      </c>
      <c r="AS431" s="82">
        <f>SUM(AJ432:AJ436)</f>
        <v>0</v>
      </c>
      <c r="AT431" s="82">
        <f>SUM(AK432:AK436)</f>
        <v>0</v>
      </c>
      <c r="AU431" s="82">
        <f>SUM(AL432:AL436)</f>
        <v>0</v>
      </c>
    </row>
    <row r="432" spans="1:64" ht="15" customHeight="1">
      <c r="A432" s="65" t="s">
        <v>708</v>
      </c>
      <c r="B432" s="66" t="s">
        <v>721</v>
      </c>
      <c r="C432" s="150" t="s">
        <v>722</v>
      </c>
      <c r="D432" s="150"/>
      <c r="E432" s="150"/>
      <c r="F432" s="150"/>
      <c r="G432" s="150"/>
      <c r="H432" s="150"/>
      <c r="I432" s="150"/>
      <c r="J432" s="66" t="s">
        <v>191</v>
      </c>
      <c r="K432" s="83">
        <v>69</v>
      </c>
      <c r="L432" s="108"/>
      <c r="M432" s="84">
        <f>K432*L432</f>
        <v>0</v>
      </c>
      <c r="Z432" s="83">
        <f>IF(AQ432="5",BJ432,0)</f>
        <v>0</v>
      </c>
      <c r="AB432" s="83">
        <f>IF(AQ432="1",BH432,0)</f>
        <v>0</v>
      </c>
      <c r="AC432" s="83">
        <f>IF(AQ432="1",BI432,0)</f>
        <v>0</v>
      </c>
      <c r="AD432" s="83">
        <f>IF(AQ432="7",BH432,0)</f>
        <v>0</v>
      </c>
      <c r="AE432" s="83">
        <f>IF(AQ432="7",BI432,0)</f>
        <v>0</v>
      </c>
      <c r="AF432" s="83">
        <f>IF(AQ432="2",BH432,0)</f>
        <v>0</v>
      </c>
      <c r="AG432" s="83">
        <f>IF(AQ432="2",BI432,0)</f>
        <v>0</v>
      </c>
      <c r="AH432" s="83">
        <f>IF(AQ432="0",BJ432,0)</f>
        <v>0</v>
      </c>
      <c r="AI432" s="72" t="s">
        <v>49</v>
      </c>
      <c r="AJ432" s="83">
        <f>IF(AN432=0,M432,0)</f>
        <v>0</v>
      </c>
      <c r="AK432" s="83">
        <f>IF(AN432=15,M432,0)</f>
        <v>0</v>
      </c>
      <c r="AL432" s="83">
        <f>IF(AN432=21,M432,0)</f>
        <v>0</v>
      </c>
      <c r="AN432" s="83">
        <v>21</v>
      </c>
      <c r="AO432" s="83">
        <f>L432*0.920872641509434</f>
        <v>0</v>
      </c>
      <c r="AP432" s="83">
        <f>L432*(1-0.920872641509434)</f>
        <v>0</v>
      </c>
      <c r="AQ432" s="85" t="s">
        <v>52</v>
      </c>
      <c r="AV432" s="83">
        <f>AW432+AX432</f>
        <v>0</v>
      </c>
      <c r="AW432" s="83">
        <f>K432*AO432</f>
        <v>0</v>
      </c>
      <c r="AX432" s="83">
        <f>K432*AP432</f>
        <v>0</v>
      </c>
      <c r="AY432" s="85" t="s">
        <v>723</v>
      </c>
      <c r="AZ432" s="85" t="s">
        <v>724</v>
      </c>
      <c r="BA432" s="72" t="s">
        <v>58</v>
      </c>
      <c r="BC432" s="83">
        <f>AW432+AX432</f>
        <v>0</v>
      </c>
      <c r="BD432" s="83">
        <f>L432/(100-BE432)*100</f>
        <v>0</v>
      </c>
      <c r="BE432" s="83">
        <v>0</v>
      </c>
      <c r="BF432" s="83">
        <f>432</f>
        <v>432</v>
      </c>
      <c r="BH432" s="83">
        <f>K432*AO432</f>
        <v>0</v>
      </c>
      <c r="BI432" s="83">
        <f>K432*AP432</f>
        <v>0</v>
      </c>
      <c r="BJ432" s="83">
        <f>K432*L432</f>
        <v>0</v>
      </c>
      <c r="BK432" s="83"/>
      <c r="BL432" s="83">
        <v>87</v>
      </c>
    </row>
    <row r="433" spans="1:13" ht="13.5" customHeight="1">
      <c r="A433" s="86"/>
      <c r="B433" s="90" t="s">
        <v>273</v>
      </c>
      <c r="C433" s="161" t="s">
        <v>725</v>
      </c>
      <c r="D433" s="162"/>
      <c r="E433" s="162"/>
      <c r="F433" s="162"/>
      <c r="G433" s="162"/>
      <c r="H433" s="162"/>
      <c r="I433" s="162"/>
      <c r="J433" s="162"/>
      <c r="K433" s="162"/>
      <c r="L433" s="162"/>
      <c r="M433" s="163"/>
    </row>
    <row r="434" spans="1:13" ht="15" customHeight="1">
      <c r="A434" s="86"/>
      <c r="C434" s="87" t="s">
        <v>442</v>
      </c>
      <c r="I434" s="87" t="s">
        <v>49</v>
      </c>
      <c r="K434" s="88">
        <v>69</v>
      </c>
      <c r="M434" s="89"/>
    </row>
    <row r="435" spans="1:13" ht="40.5" customHeight="1">
      <c r="A435" s="86"/>
      <c r="B435" s="90" t="s">
        <v>60</v>
      </c>
      <c r="C435" s="161" t="s">
        <v>726</v>
      </c>
      <c r="D435" s="162"/>
      <c r="E435" s="162"/>
      <c r="F435" s="162"/>
      <c r="G435" s="162"/>
      <c r="H435" s="162"/>
      <c r="I435" s="162"/>
      <c r="J435" s="162"/>
      <c r="K435" s="162"/>
      <c r="L435" s="162"/>
      <c r="M435" s="163"/>
    </row>
    <row r="436" spans="1:64" ht="15" customHeight="1">
      <c r="A436" s="65" t="s">
        <v>715</v>
      </c>
      <c r="B436" s="66" t="s">
        <v>727</v>
      </c>
      <c r="C436" s="150" t="s">
        <v>728</v>
      </c>
      <c r="D436" s="150"/>
      <c r="E436" s="150"/>
      <c r="F436" s="150"/>
      <c r="G436" s="150"/>
      <c r="H436" s="150"/>
      <c r="I436" s="150"/>
      <c r="J436" s="66" t="s">
        <v>55</v>
      </c>
      <c r="K436" s="83">
        <v>48</v>
      </c>
      <c r="L436" s="108"/>
      <c r="M436" s="84">
        <f>K436*L436</f>
        <v>0</v>
      </c>
      <c r="Z436" s="83">
        <f>IF(AQ436="5",BJ436,0)</f>
        <v>0</v>
      </c>
      <c r="AB436" s="83">
        <f>IF(AQ436="1",BH436,0)</f>
        <v>0</v>
      </c>
      <c r="AC436" s="83">
        <f>IF(AQ436="1",BI436,0)</f>
        <v>0</v>
      </c>
      <c r="AD436" s="83">
        <f>IF(AQ436="7",BH436,0)</f>
        <v>0</v>
      </c>
      <c r="AE436" s="83">
        <f>IF(AQ436="7",BI436,0)</f>
        <v>0</v>
      </c>
      <c r="AF436" s="83">
        <f>IF(AQ436="2",BH436,0)</f>
        <v>0</v>
      </c>
      <c r="AG436" s="83">
        <f>IF(AQ436="2",BI436,0)</f>
        <v>0</v>
      </c>
      <c r="AH436" s="83">
        <f>IF(AQ436="0",BJ436,0)</f>
        <v>0</v>
      </c>
      <c r="AI436" s="72" t="s">
        <v>49</v>
      </c>
      <c r="AJ436" s="83">
        <f>IF(AN436=0,M436,0)</f>
        <v>0</v>
      </c>
      <c r="AK436" s="83">
        <f>IF(AN436=15,M436,0)</f>
        <v>0</v>
      </c>
      <c r="AL436" s="83">
        <f>IF(AN436=21,M436,0)</f>
        <v>0</v>
      </c>
      <c r="AN436" s="83">
        <v>21</v>
      </c>
      <c r="AO436" s="83">
        <f>L436*1</f>
        <v>0</v>
      </c>
      <c r="AP436" s="83">
        <f>L436*(1-1)</f>
        <v>0</v>
      </c>
      <c r="AQ436" s="85" t="s">
        <v>52</v>
      </c>
      <c r="AV436" s="83">
        <f>AW436+AX436</f>
        <v>0</v>
      </c>
      <c r="AW436" s="83">
        <f>K436*AO436</f>
        <v>0</v>
      </c>
      <c r="AX436" s="83">
        <f>K436*AP436</f>
        <v>0</v>
      </c>
      <c r="AY436" s="85" t="s">
        <v>723</v>
      </c>
      <c r="AZ436" s="85" t="s">
        <v>724</v>
      </c>
      <c r="BA436" s="72" t="s">
        <v>58</v>
      </c>
      <c r="BC436" s="83">
        <f>AW436+AX436</f>
        <v>0</v>
      </c>
      <c r="BD436" s="83">
        <f>L436/(100-BE436)*100</f>
        <v>0</v>
      </c>
      <c r="BE436" s="83">
        <v>0</v>
      </c>
      <c r="BF436" s="83">
        <f>436</f>
        <v>436</v>
      </c>
      <c r="BH436" s="83">
        <f>K436*AO436</f>
        <v>0</v>
      </c>
      <c r="BI436" s="83">
        <f>K436*AP436</f>
        <v>0</v>
      </c>
      <c r="BJ436" s="83">
        <f>K436*L436</f>
        <v>0</v>
      </c>
      <c r="BK436" s="83"/>
      <c r="BL436" s="83">
        <v>87</v>
      </c>
    </row>
    <row r="437" spans="1:13" ht="15" customHeight="1">
      <c r="A437" s="86"/>
      <c r="C437" s="87" t="s">
        <v>320</v>
      </c>
      <c r="I437" s="87" t="s">
        <v>49</v>
      </c>
      <c r="K437" s="88">
        <v>48.00000000000001</v>
      </c>
      <c r="M437" s="89"/>
    </row>
    <row r="438" spans="1:47" ht="15" customHeight="1">
      <c r="A438" s="78" t="s">
        <v>49</v>
      </c>
      <c r="B438" s="79" t="s">
        <v>552</v>
      </c>
      <c r="C438" s="168" t="s">
        <v>729</v>
      </c>
      <c r="D438" s="168"/>
      <c r="E438" s="168"/>
      <c r="F438" s="168"/>
      <c r="G438" s="168"/>
      <c r="H438" s="168"/>
      <c r="I438" s="168"/>
      <c r="J438" s="80" t="s">
        <v>3</v>
      </c>
      <c r="K438" s="80" t="s">
        <v>3</v>
      </c>
      <c r="L438" s="80" t="s">
        <v>3</v>
      </c>
      <c r="M438" s="81">
        <f>SUM(M439:M468)</f>
        <v>0</v>
      </c>
      <c r="AI438" s="72" t="s">
        <v>49</v>
      </c>
      <c r="AS438" s="82">
        <f>SUM(AJ439:AJ468)</f>
        <v>0</v>
      </c>
      <c r="AT438" s="82">
        <f>SUM(AK439:AK468)</f>
        <v>0</v>
      </c>
      <c r="AU438" s="82">
        <f>SUM(AL439:AL468)</f>
        <v>0</v>
      </c>
    </row>
    <row r="439" spans="1:64" ht="15" customHeight="1">
      <c r="A439" s="65" t="s">
        <v>720</v>
      </c>
      <c r="B439" s="66" t="s">
        <v>731</v>
      </c>
      <c r="C439" s="150" t="s">
        <v>732</v>
      </c>
      <c r="D439" s="150"/>
      <c r="E439" s="150"/>
      <c r="F439" s="150"/>
      <c r="G439" s="150"/>
      <c r="H439" s="150"/>
      <c r="I439" s="150"/>
      <c r="J439" s="66" t="s">
        <v>55</v>
      </c>
      <c r="K439" s="83">
        <v>15</v>
      </c>
      <c r="L439" s="108"/>
      <c r="M439" s="84">
        <f>K439*L439</f>
        <v>0</v>
      </c>
      <c r="Z439" s="83">
        <f>IF(AQ439="5",BJ439,0)</f>
        <v>0</v>
      </c>
      <c r="AB439" s="83">
        <f>IF(AQ439="1",BH439,0)</f>
        <v>0</v>
      </c>
      <c r="AC439" s="83">
        <f>IF(AQ439="1",BI439,0)</f>
        <v>0</v>
      </c>
      <c r="AD439" s="83">
        <f>IF(AQ439="7",BH439,0)</f>
        <v>0</v>
      </c>
      <c r="AE439" s="83">
        <f>IF(AQ439="7",BI439,0)</f>
        <v>0</v>
      </c>
      <c r="AF439" s="83">
        <f>IF(AQ439="2",BH439,0)</f>
        <v>0</v>
      </c>
      <c r="AG439" s="83">
        <f>IF(AQ439="2",BI439,0)</f>
        <v>0</v>
      </c>
      <c r="AH439" s="83">
        <f>IF(AQ439="0",BJ439,0)</f>
        <v>0</v>
      </c>
      <c r="AI439" s="72" t="s">
        <v>49</v>
      </c>
      <c r="AJ439" s="83">
        <f>IF(AN439=0,M439,0)</f>
        <v>0</v>
      </c>
      <c r="AK439" s="83">
        <f>IF(AN439=15,M439,0)</f>
        <v>0</v>
      </c>
      <c r="AL439" s="83">
        <f>IF(AN439=21,M439,0)</f>
        <v>0</v>
      </c>
      <c r="AN439" s="83">
        <v>21</v>
      </c>
      <c r="AO439" s="83">
        <f>L439*0.321238636363636</f>
        <v>0</v>
      </c>
      <c r="AP439" s="83">
        <f>L439*(1-0.321238636363636)</f>
        <v>0</v>
      </c>
      <c r="AQ439" s="85" t="s">
        <v>52</v>
      </c>
      <c r="AV439" s="83">
        <f>AW439+AX439</f>
        <v>0</v>
      </c>
      <c r="AW439" s="83">
        <f>K439*AO439</f>
        <v>0</v>
      </c>
      <c r="AX439" s="83">
        <f>K439*AP439</f>
        <v>0</v>
      </c>
      <c r="AY439" s="85" t="s">
        <v>733</v>
      </c>
      <c r="AZ439" s="85" t="s">
        <v>724</v>
      </c>
      <c r="BA439" s="72" t="s">
        <v>58</v>
      </c>
      <c r="BC439" s="83">
        <f>AW439+AX439</f>
        <v>0</v>
      </c>
      <c r="BD439" s="83">
        <f>L439/(100-BE439)*100</f>
        <v>0</v>
      </c>
      <c r="BE439" s="83">
        <v>0</v>
      </c>
      <c r="BF439" s="83">
        <f>439</f>
        <v>439</v>
      </c>
      <c r="BH439" s="83">
        <f>K439*AO439</f>
        <v>0</v>
      </c>
      <c r="BI439" s="83">
        <f>K439*AP439</f>
        <v>0</v>
      </c>
      <c r="BJ439" s="83">
        <f>K439*L439</f>
        <v>0</v>
      </c>
      <c r="BK439" s="83"/>
      <c r="BL439" s="83">
        <v>89</v>
      </c>
    </row>
    <row r="440" spans="1:13" ht="15" customHeight="1">
      <c r="A440" s="86"/>
      <c r="C440" s="87" t="s">
        <v>146</v>
      </c>
      <c r="I440" s="87" t="s">
        <v>49</v>
      </c>
      <c r="K440" s="88">
        <v>15.000000000000002</v>
      </c>
      <c r="M440" s="89"/>
    </row>
    <row r="441" spans="1:64" ht="15" customHeight="1">
      <c r="A441" s="65" t="s">
        <v>194</v>
      </c>
      <c r="B441" s="66" t="s">
        <v>735</v>
      </c>
      <c r="C441" s="150" t="s">
        <v>736</v>
      </c>
      <c r="D441" s="150"/>
      <c r="E441" s="150"/>
      <c r="F441" s="150"/>
      <c r="G441" s="150"/>
      <c r="H441" s="150"/>
      <c r="I441" s="150"/>
      <c r="J441" s="66" t="s">
        <v>55</v>
      </c>
      <c r="K441" s="83">
        <v>15</v>
      </c>
      <c r="L441" s="108"/>
      <c r="M441" s="84">
        <f>K441*L441</f>
        <v>0</v>
      </c>
      <c r="Z441" s="83">
        <f>IF(AQ441="5",BJ441,0)</f>
        <v>0</v>
      </c>
      <c r="AB441" s="83">
        <f>IF(AQ441="1",BH441,0)</f>
        <v>0</v>
      </c>
      <c r="AC441" s="83">
        <f>IF(AQ441="1",BI441,0)</f>
        <v>0</v>
      </c>
      <c r="AD441" s="83">
        <f>IF(AQ441="7",BH441,0)</f>
        <v>0</v>
      </c>
      <c r="AE441" s="83">
        <f>IF(AQ441="7",BI441,0)</f>
        <v>0</v>
      </c>
      <c r="AF441" s="83">
        <f>IF(AQ441="2",BH441,0)</f>
        <v>0</v>
      </c>
      <c r="AG441" s="83">
        <f>IF(AQ441="2",BI441,0)</f>
        <v>0</v>
      </c>
      <c r="AH441" s="83">
        <f>IF(AQ441="0",BJ441,0)</f>
        <v>0</v>
      </c>
      <c r="AI441" s="72" t="s">
        <v>49</v>
      </c>
      <c r="AJ441" s="83">
        <f>IF(AN441=0,M441,0)</f>
        <v>0</v>
      </c>
      <c r="AK441" s="83">
        <f>IF(AN441=15,M441,0)</f>
        <v>0</v>
      </c>
      <c r="AL441" s="83">
        <f>IF(AN441=21,M441,0)</f>
        <v>0</v>
      </c>
      <c r="AN441" s="83">
        <v>21</v>
      </c>
      <c r="AO441" s="83">
        <f>L441*0.0523675606839212</f>
        <v>0</v>
      </c>
      <c r="AP441" s="83">
        <f>L441*(1-0.0523675606839212)</f>
        <v>0</v>
      </c>
      <c r="AQ441" s="85" t="s">
        <v>52</v>
      </c>
      <c r="AV441" s="83">
        <f>AW441+AX441</f>
        <v>0</v>
      </c>
      <c r="AW441" s="83">
        <f>K441*AO441</f>
        <v>0</v>
      </c>
      <c r="AX441" s="83">
        <f>K441*AP441</f>
        <v>0</v>
      </c>
      <c r="AY441" s="85" t="s">
        <v>733</v>
      </c>
      <c r="AZ441" s="85" t="s">
        <v>724</v>
      </c>
      <c r="BA441" s="72" t="s">
        <v>58</v>
      </c>
      <c r="BC441" s="83">
        <f>AW441+AX441</f>
        <v>0</v>
      </c>
      <c r="BD441" s="83">
        <f>L441/(100-BE441)*100</f>
        <v>0</v>
      </c>
      <c r="BE441" s="83">
        <v>0</v>
      </c>
      <c r="BF441" s="83">
        <f>441</f>
        <v>441</v>
      </c>
      <c r="BH441" s="83">
        <f>K441*AO441</f>
        <v>0</v>
      </c>
      <c r="BI441" s="83">
        <f>K441*AP441</f>
        <v>0</v>
      </c>
      <c r="BJ441" s="83">
        <f>K441*L441</f>
        <v>0</v>
      </c>
      <c r="BK441" s="83"/>
      <c r="BL441" s="83">
        <v>89</v>
      </c>
    </row>
    <row r="442" spans="1:13" ht="15" customHeight="1">
      <c r="A442" s="86"/>
      <c r="C442" s="87" t="s">
        <v>146</v>
      </c>
      <c r="I442" s="87" t="s">
        <v>49</v>
      </c>
      <c r="K442" s="88">
        <v>15.000000000000002</v>
      </c>
      <c r="M442" s="89"/>
    </row>
    <row r="443" spans="1:13" ht="67.5" customHeight="1">
      <c r="A443" s="86"/>
      <c r="B443" s="90" t="s">
        <v>60</v>
      </c>
      <c r="C443" s="161" t="s">
        <v>737</v>
      </c>
      <c r="D443" s="162"/>
      <c r="E443" s="162"/>
      <c r="F443" s="162"/>
      <c r="G443" s="162"/>
      <c r="H443" s="162"/>
      <c r="I443" s="162"/>
      <c r="J443" s="162"/>
      <c r="K443" s="162"/>
      <c r="L443" s="162"/>
      <c r="M443" s="163"/>
    </row>
    <row r="444" spans="1:64" ht="15" customHeight="1">
      <c r="A444" s="65" t="s">
        <v>730</v>
      </c>
      <c r="B444" s="66" t="s">
        <v>739</v>
      </c>
      <c r="C444" s="150" t="s">
        <v>740</v>
      </c>
      <c r="D444" s="150"/>
      <c r="E444" s="150"/>
      <c r="F444" s="150"/>
      <c r="G444" s="150"/>
      <c r="H444" s="150"/>
      <c r="I444" s="150"/>
      <c r="J444" s="66" t="s">
        <v>55</v>
      </c>
      <c r="K444" s="83">
        <v>15</v>
      </c>
      <c r="L444" s="108"/>
      <c r="M444" s="84">
        <f>K444*L444</f>
        <v>0</v>
      </c>
      <c r="Z444" s="83">
        <f>IF(AQ444="5",BJ444,0)</f>
        <v>0</v>
      </c>
      <c r="AB444" s="83">
        <f>IF(AQ444="1",BH444,0)</f>
        <v>0</v>
      </c>
      <c r="AC444" s="83">
        <f>IF(AQ444="1",BI444,0)</f>
        <v>0</v>
      </c>
      <c r="AD444" s="83">
        <f>IF(AQ444="7",BH444,0)</f>
        <v>0</v>
      </c>
      <c r="AE444" s="83">
        <f>IF(AQ444="7",BI444,0)</f>
        <v>0</v>
      </c>
      <c r="AF444" s="83">
        <f>IF(AQ444="2",BH444,0)</f>
        <v>0</v>
      </c>
      <c r="AG444" s="83">
        <f>IF(AQ444="2",BI444,0)</f>
        <v>0</v>
      </c>
      <c r="AH444" s="83">
        <f>IF(AQ444="0",BJ444,0)</f>
        <v>0</v>
      </c>
      <c r="AI444" s="72" t="s">
        <v>49</v>
      </c>
      <c r="AJ444" s="83">
        <f>IF(AN444=0,M444,0)</f>
        <v>0</v>
      </c>
      <c r="AK444" s="83">
        <f>IF(AN444=15,M444,0)</f>
        <v>0</v>
      </c>
      <c r="AL444" s="83">
        <f>IF(AN444=21,M444,0)</f>
        <v>0</v>
      </c>
      <c r="AN444" s="83">
        <v>21</v>
      </c>
      <c r="AO444" s="83">
        <f>L444*1</f>
        <v>0</v>
      </c>
      <c r="AP444" s="83">
        <f>L444*(1-1)</f>
        <v>0</v>
      </c>
      <c r="AQ444" s="85" t="s">
        <v>52</v>
      </c>
      <c r="AV444" s="83">
        <f>AW444+AX444</f>
        <v>0</v>
      </c>
      <c r="AW444" s="83">
        <f>K444*AO444</f>
        <v>0</v>
      </c>
      <c r="AX444" s="83">
        <f>K444*AP444</f>
        <v>0</v>
      </c>
      <c r="AY444" s="85" t="s">
        <v>733</v>
      </c>
      <c r="AZ444" s="85" t="s">
        <v>724</v>
      </c>
      <c r="BA444" s="72" t="s">
        <v>58</v>
      </c>
      <c r="BC444" s="83">
        <f>AW444+AX444</f>
        <v>0</v>
      </c>
      <c r="BD444" s="83">
        <f>L444/(100-BE444)*100</f>
        <v>0</v>
      </c>
      <c r="BE444" s="83">
        <v>0</v>
      </c>
      <c r="BF444" s="83">
        <f>444</f>
        <v>444</v>
      </c>
      <c r="BH444" s="83">
        <f>K444*AO444</f>
        <v>0</v>
      </c>
      <c r="BI444" s="83">
        <f>K444*AP444</f>
        <v>0</v>
      </c>
      <c r="BJ444" s="83">
        <f>K444*L444</f>
        <v>0</v>
      </c>
      <c r="BK444" s="83"/>
      <c r="BL444" s="83">
        <v>89</v>
      </c>
    </row>
    <row r="445" spans="1:13" ht="15" customHeight="1">
      <c r="A445" s="86"/>
      <c r="C445" s="87" t="s">
        <v>146</v>
      </c>
      <c r="I445" s="87" t="s">
        <v>49</v>
      </c>
      <c r="K445" s="88">
        <v>15.000000000000002</v>
      </c>
      <c r="M445" s="89"/>
    </row>
    <row r="446" spans="1:64" ht="15" customHeight="1">
      <c r="A446" s="65" t="s">
        <v>734</v>
      </c>
      <c r="B446" s="66" t="s">
        <v>742</v>
      </c>
      <c r="C446" s="150" t="s">
        <v>743</v>
      </c>
      <c r="D446" s="150"/>
      <c r="E446" s="150"/>
      <c r="F446" s="150"/>
      <c r="G446" s="150"/>
      <c r="H446" s="150"/>
      <c r="I446" s="150"/>
      <c r="J446" s="66" t="s">
        <v>55</v>
      </c>
      <c r="K446" s="83">
        <v>15</v>
      </c>
      <c r="L446" s="108"/>
      <c r="M446" s="84">
        <f>K446*L446</f>
        <v>0</v>
      </c>
      <c r="Z446" s="83">
        <f>IF(AQ446="5",BJ446,0)</f>
        <v>0</v>
      </c>
      <c r="AB446" s="83">
        <f>IF(AQ446="1",BH446,0)</f>
        <v>0</v>
      </c>
      <c r="AC446" s="83">
        <f>IF(AQ446="1",BI446,0)</f>
        <v>0</v>
      </c>
      <c r="AD446" s="83">
        <f>IF(AQ446="7",BH446,0)</f>
        <v>0</v>
      </c>
      <c r="AE446" s="83">
        <f>IF(AQ446="7",BI446,0)</f>
        <v>0</v>
      </c>
      <c r="AF446" s="83">
        <f>IF(AQ446="2",BH446,0)</f>
        <v>0</v>
      </c>
      <c r="AG446" s="83">
        <f>IF(AQ446="2",BI446,0)</f>
        <v>0</v>
      </c>
      <c r="AH446" s="83">
        <f>IF(AQ446="0",BJ446,0)</f>
        <v>0</v>
      </c>
      <c r="AI446" s="72" t="s">
        <v>49</v>
      </c>
      <c r="AJ446" s="83">
        <f>IF(AN446=0,M446,0)</f>
        <v>0</v>
      </c>
      <c r="AK446" s="83">
        <f>IF(AN446=15,M446,0)</f>
        <v>0</v>
      </c>
      <c r="AL446" s="83">
        <f>IF(AN446=21,M446,0)</f>
        <v>0</v>
      </c>
      <c r="AN446" s="83">
        <v>21</v>
      </c>
      <c r="AO446" s="83">
        <f>L446*1</f>
        <v>0</v>
      </c>
      <c r="AP446" s="83">
        <f>L446*(1-1)</f>
        <v>0</v>
      </c>
      <c r="AQ446" s="85" t="s">
        <v>52</v>
      </c>
      <c r="AV446" s="83">
        <f>AW446+AX446</f>
        <v>0</v>
      </c>
      <c r="AW446" s="83">
        <f>K446*AO446</f>
        <v>0</v>
      </c>
      <c r="AX446" s="83">
        <f>K446*AP446</f>
        <v>0</v>
      </c>
      <c r="AY446" s="85" t="s">
        <v>733</v>
      </c>
      <c r="AZ446" s="85" t="s">
        <v>724</v>
      </c>
      <c r="BA446" s="72" t="s">
        <v>58</v>
      </c>
      <c r="BC446" s="83">
        <f>AW446+AX446</f>
        <v>0</v>
      </c>
      <c r="BD446" s="83">
        <f>L446/(100-BE446)*100</f>
        <v>0</v>
      </c>
      <c r="BE446" s="83">
        <v>0</v>
      </c>
      <c r="BF446" s="83">
        <f>446</f>
        <v>446</v>
      </c>
      <c r="BH446" s="83">
        <f>K446*AO446</f>
        <v>0</v>
      </c>
      <c r="BI446" s="83">
        <f>K446*AP446</f>
        <v>0</v>
      </c>
      <c r="BJ446" s="83">
        <f>K446*L446</f>
        <v>0</v>
      </c>
      <c r="BK446" s="83"/>
      <c r="BL446" s="83">
        <v>89</v>
      </c>
    </row>
    <row r="447" spans="1:13" ht="15" customHeight="1">
      <c r="A447" s="86"/>
      <c r="C447" s="87" t="s">
        <v>146</v>
      </c>
      <c r="I447" s="87" t="s">
        <v>49</v>
      </c>
      <c r="K447" s="88">
        <v>15.000000000000002</v>
      </c>
      <c r="M447" s="89"/>
    </row>
    <row r="448" spans="1:64" ht="15" customHeight="1">
      <c r="A448" s="65" t="s">
        <v>738</v>
      </c>
      <c r="B448" s="66" t="s">
        <v>745</v>
      </c>
      <c r="C448" s="150" t="s">
        <v>746</v>
      </c>
      <c r="D448" s="150"/>
      <c r="E448" s="150"/>
      <c r="F448" s="150"/>
      <c r="G448" s="150"/>
      <c r="H448" s="150"/>
      <c r="I448" s="150"/>
      <c r="J448" s="66" t="s">
        <v>55</v>
      </c>
      <c r="K448" s="83">
        <v>15</v>
      </c>
      <c r="L448" s="108"/>
      <c r="M448" s="84">
        <f>K448*L448</f>
        <v>0</v>
      </c>
      <c r="Z448" s="83">
        <f>IF(AQ448="5",BJ448,0)</f>
        <v>0</v>
      </c>
      <c r="AB448" s="83">
        <f>IF(AQ448="1",BH448,0)</f>
        <v>0</v>
      </c>
      <c r="AC448" s="83">
        <f>IF(AQ448="1",BI448,0)</f>
        <v>0</v>
      </c>
      <c r="AD448" s="83">
        <f>IF(AQ448="7",BH448,0)</f>
        <v>0</v>
      </c>
      <c r="AE448" s="83">
        <f>IF(AQ448="7",BI448,0)</f>
        <v>0</v>
      </c>
      <c r="AF448" s="83">
        <f>IF(AQ448="2",BH448,0)</f>
        <v>0</v>
      </c>
      <c r="AG448" s="83">
        <f>IF(AQ448="2",BI448,0)</f>
        <v>0</v>
      </c>
      <c r="AH448" s="83">
        <f>IF(AQ448="0",BJ448,0)</f>
        <v>0</v>
      </c>
      <c r="AI448" s="72" t="s">
        <v>49</v>
      </c>
      <c r="AJ448" s="83">
        <f>IF(AN448=0,M448,0)</f>
        <v>0</v>
      </c>
      <c r="AK448" s="83">
        <f>IF(AN448=15,M448,0)</f>
        <v>0</v>
      </c>
      <c r="AL448" s="83">
        <f>IF(AN448=21,M448,0)</f>
        <v>0</v>
      </c>
      <c r="AN448" s="83">
        <v>21</v>
      </c>
      <c r="AO448" s="83">
        <f>L448*1</f>
        <v>0</v>
      </c>
      <c r="AP448" s="83">
        <f>L448*(1-1)</f>
        <v>0</v>
      </c>
      <c r="AQ448" s="85" t="s">
        <v>52</v>
      </c>
      <c r="AV448" s="83">
        <f>AW448+AX448</f>
        <v>0</v>
      </c>
      <c r="AW448" s="83">
        <f>K448*AO448</f>
        <v>0</v>
      </c>
      <c r="AX448" s="83">
        <f>K448*AP448</f>
        <v>0</v>
      </c>
      <c r="AY448" s="85" t="s">
        <v>733</v>
      </c>
      <c r="AZ448" s="85" t="s">
        <v>724</v>
      </c>
      <c r="BA448" s="72" t="s">
        <v>58</v>
      </c>
      <c r="BC448" s="83">
        <f>AW448+AX448</f>
        <v>0</v>
      </c>
      <c r="BD448" s="83">
        <f>L448/(100-BE448)*100</f>
        <v>0</v>
      </c>
      <c r="BE448" s="83">
        <v>0</v>
      </c>
      <c r="BF448" s="83">
        <f>448</f>
        <v>448</v>
      </c>
      <c r="BH448" s="83">
        <f>K448*AO448</f>
        <v>0</v>
      </c>
      <c r="BI448" s="83">
        <f>K448*AP448</f>
        <v>0</v>
      </c>
      <c r="BJ448" s="83">
        <f>K448*L448</f>
        <v>0</v>
      </c>
      <c r="BK448" s="83"/>
      <c r="BL448" s="83">
        <v>89</v>
      </c>
    </row>
    <row r="449" spans="1:13" ht="15" customHeight="1">
      <c r="A449" s="86"/>
      <c r="C449" s="87" t="s">
        <v>146</v>
      </c>
      <c r="I449" s="87" t="s">
        <v>49</v>
      </c>
      <c r="K449" s="88">
        <v>15.000000000000002</v>
      </c>
      <c r="M449" s="89"/>
    </row>
    <row r="450" spans="1:64" ht="15" customHeight="1">
      <c r="A450" s="65" t="s">
        <v>741</v>
      </c>
      <c r="B450" s="66" t="s">
        <v>748</v>
      </c>
      <c r="C450" s="150" t="s">
        <v>749</v>
      </c>
      <c r="D450" s="150"/>
      <c r="E450" s="150"/>
      <c r="F450" s="150"/>
      <c r="G450" s="150"/>
      <c r="H450" s="150"/>
      <c r="I450" s="150"/>
      <c r="J450" s="66" t="s">
        <v>55</v>
      </c>
      <c r="K450" s="83">
        <v>15</v>
      </c>
      <c r="L450" s="108"/>
      <c r="M450" s="84">
        <f>K450*L450</f>
        <v>0</v>
      </c>
      <c r="Z450" s="83">
        <f>IF(AQ450="5",BJ450,0)</f>
        <v>0</v>
      </c>
      <c r="AB450" s="83">
        <f>IF(AQ450="1",BH450,0)</f>
        <v>0</v>
      </c>
      <c r="AC450" s="83">
        <f>IF(AQ450="1",BI450,0)</f>
        <v>0</v>
      </c>
      <c r="AD450" s="83">
        <f>IF(AQ450="7",BH450,0)</f>
        <v>0</v>
      </c>
      <c r="AE450" s="83">
        <f>IF(AQ450="7",BI450,0)</f>
        <v>0</v>
      </c>
      <c r="AF450" s="83">
        <f>IF(AQ450="2",BH450,0)</f>
        <v>0</v>
      </c>
      <c r="AG450" s="83">
        <f>IF(AQ450="2",BI450,0)</f>
        <v>0</v>
      </c>
      <c r="AH450" s="83">
        <f>IF(AQ450="0",BJ450,0)</f>
        <v>0</v>
      </c>
      <c r="AI450" s="72" t="s">
        <v>49</v>
      </c>
      <c r="AJ450" s="83">
        <f>IF(AN450=0,M450,0)</f>
        <v>0</v>
      </c>
      <c r="AK450" s="83">
        <f>IF(AN450=15,M450,0)</f>
        <v>0</v>
      </c>
      <c r="AL450" s="83">
        <f>IF(AN450=21,M450,0)</f>
        <v>0</v>
      </c>
      <c r="AN450" s="83">
        <v>21</v>
      </c>
      <c r="AO450" s="83">
        <f>L450*1</f>
        <v>0</v>
      </c>
      <c r="AP450" s="83">
        <f>L450*(1-1)</f>
        <v>0</v>
      </c>
      <c r="AQ450" s="85" t="s">
        <v>52</v>
      </c>
      <c r="AV450" s="83">
        <f>AW450+AX450</f>
        <v>0</v>
      </c>
      <c r="AW450" s="83">
        <f>K450*AO450</f>
        <v>0</v>
      </c>
      <c r="AX450" s="83">
        <f>K450*AP450</f>
        <v>0</v>
      </c>
      <c r="AY450" s="85" t="s">
        <v>733</v>
      </c>
      <c r="AZ450" s="85" t="s">
        <v>724</v>
      </c>
      <c r="BA450" s="72" t="s">
        <v>58</v>
      </c>
      <c r="BC450" s="83">
        <f>AW450+AX450</f>
        <v>0</v>
      </c>
      <c r="BD450" s="83">
        <f>L450/(100-BE450)*100</f>
        <v>0</v>
      </c>
      <c r="BE450" s="83">
        <v>0</v>
      </c>
      <c r="BF450" s="83">
        <f>450</f>
        <v>450</v>
      </c>
      <c r="BH450" s="83">
        <f>K450*AO450</f>
        <v>0</v>
      </c>
      <c r="BI450" s="83">
        <f>K450*AP450</f>
        <v>0</v>
      </c>
      <c r="BJ450" s="83">
        <f>K450*L450</f>
        <v>0</v>
      </c>
      <c r="BK450" s="83"/>
      <c r="BL450" s="83">
        <v>89</v>
      </c>
    </row>
    <row r="451" spans="1:13" ht="15" customHeight="1">
      <c r="A451" s="86"/>
      <c r="C451" s="87" t="s">
        <v>146</v>
      </c>
      <c r="I451" s="87" t="s">
        <v>49</v>
      </c>
      <c r="K451" s="88">
        <v>15.000000000000002</v>
      </c>
      <c r="M451" s="89"/>
    </row>
    <row r="452" spans="1:64" ht="15" customHeight="1">
      <c r="A452" s="65" t="s">
        <v>744</v>
      </c>
      <c r="B452" s="66" t="s">
        <v>751</v>
      </c>
      <c r="C452" s="150" t="s">
        <v>752</v>
      </c>
      <c r="D452" s="150"/>
      <c r="E452" s="150"/>
      <c r="F452" s="150"/>
      <c r="G452" s="150"/>
      <c r="H452" s="150"/>
      <c r="I452" s="150"/>
      <c r="J452" s="66" t="s">
        <v>55</v>
      </c>
      <c r="K452" s="83">
        <v>15</v>
      </c>
      <c r="L452" s="108"/>
      <c r="M452" s="84">
        <f>K452*L452</f>
        <v>0</v>
      </c>
      <c r="Z452" s="83">
        <f>IF(AQ452="5",BJ452,0)</f>
        <v>0</v>
      </c>
      <c r="AB452" s="83">
        <f>IF(AQ452="1",BH452,0)</f>
        <v>0</v>
      </c>
      <c r="AC452" s="83">
        <f>IF(AQ452="1",BI452,0)</f>
        <v>0</v>
      </c>
      <c r="AD452" s="83">
        <f>IF(AQ452="7",BH452,0)</f>
        <v>0</v>
      </c>
      <c r="AE452" s="83">
        <f>IF(AQ452="7",BI452,0)</f>
        <v>0</v>
      </c>
      <c r="AF452" s="83">
        <f>IF(AQ452="2",BH452,0)</f>
        <v>0</v>
      </c>
      <c r="AG452" s="83">
        <f>IF(AQ452="2",BI452,0)</f>
        <v>0</v>
      </c>
      <c r="AH452" s="83">
        <f>IF(AQ452="0",BJ452,0)</f>
        <v>0</v>
      </c>
      <c r="AI452" s="72" t="s">
        <v>49</v>
      </c>
      <c r="AJ452" s="83">
        <f>IF(AN452=0,M452,0)</f>
        <v>0</v>
      </c>
      <c r="AK452" s="83">
        <f>IF(AN452=15,M452,0)</f>
        <v>0</v>
      </c>
      <c r="AL452" s="83">
        <f>IF(AN452=21,M452,0)</f>
        <v>0</v>
      </c>
      <c r="AN452" s="83">
        <v>21</v>
      </c>
      <c r="AO452" s="83">
        <f>L452*1</f>
        <v>0</v>
      </c>
      <c r="AP452" s="83">
        <f>L452*(1-1)</f>
        <v>0</v>
      </c>
      <c r="AQ452" s="85" t="s">
        <v>52</v>
      </c>
      <c r="AV452" s="83">
        <f>AW452+AX452</f>
        <v>0</v>
      </c>
      <c r="AW452" s="83">
        <f>K452*AO452</f>
        <v>0</v>
      </c>
      <c r="AX452" s="83">
        <f>K452*AP452</f>
        <v>0</v>
      </c>
      <c r="AY452" s="85" t="s">
        <v>733</v>
      </c>
      <c r="AZ452" s="85" t="s">
        <v>724</v>
      </c>
      <c r="BA452" s="72" t="s">
        <v>58</v>
      </c>
      <c r="BC452" s="83">
        <f>AW452+AX452</f>
        <v>0</v>
      </c>
      <c r="BD452" s="83">
        <f>L452/(100-BE452)*100</f>
        <v>0</v>
      </c>
      <c r="BE452" s="83">
        <v>0</v>
      </c>
      <c r="BF452" s="83">
        <f>452</f>
        <v>452</v>
      </c>
      <c r="BH452" s="83">
        <f>K452*AO452</f>
        <v>0</v>
      </c>
      <c r="BI452" s="83">
        <f>K452*AP452</f>
        <v>0</v>
      </c>
      <c r="BJ452" s="83">
        <f>K452*L452</f>
        <v>0</v>
      </c>
      <c r="BK452" s="83"/>
      <c r="BL452" s="83">
        <v>89</v>
      </c>
    </row>
    <row r="453" spans="1:13" ht="15" customHeight="1">
      <c r="A453" s="86"/>
      <c r="C453" s="87" t="s">
        <v>146</v>
      </c>
      <c r="I453" s="87" t="s">
        <v>49</v>
      </c>
      <c r="K453" s="88">
        <v>15.000000000000002</v>
      </c>
      <c r="M453" s="89"/>
    </row>
    <row r="454" spans="1:64" ht="15" customHeight="1">
      <c r="A454" s="65" t="s">
        <v>747</v>
      </c>
      <c r="B454" s="66" t="s">
        <v>754</v>
      </c>
      <c r="C454" s="150" t="s">
        <v>755</v>
      </c>
      <c r="D454" s="150"/>
      <c r="E454" s="150"/>
      <c r="F454" s="150"/>
      <c r="G454" s="150"/>
      <c r="H454" s="150"/>
      <c r="I454" s="150"/>
      <c r="J454" s="66" t="s">
        <v>55</v>
      </c>
      <c r="K454" s="83">
        <v>15</v>
      </c>
      <c r="L454" s="108"/>
      <c r="M454" s="84">
        <f>K454*L454</f>
        <v>0</v>
      </c>
      <c r="Z454" s="83">
        <f>IF(AQ454="5",BJ454,0)</f>
        <v>0</v>
      </c>
      <c r="AB454" s="83">
        <f>IF(AQ454="1",BH454,0)</f>
        <v>0</v>
      </c>
      <c r="AC454" s="83">
        <f>IF(AQ454="1",BI454,0)</f>
        <v>0</v>
      </c>
      <c r="AD454" s="83">
        <f>IF(AQ454="7",BH454,0)</f>
        <v>0</v>
      </c>
      <c r="AE454" s="83">
        <f>IF(AQ454="7",BI454,0)</f>
        <v>0</v>
      </c>
      <c r="AF454" s="83">
        <f>IF(AQ454="2",BH454,0)</f>
        <v>0</v>
      </c>
      <c r="AG454" s="83">
        <f>IF(AQ454="2",BI454,0)</f>
        <v>0</v>
      </c>
      <c r="AH454" s="83">
        <f>IF(AQ454="0",BJ454,0)</f>
        <v>0</v>
      </c>
      <c r="AI454" s="72" t="s">
        <v>49</v>
      </c>
      <c r="AJ454" s="83">
        <f>IF(AN454=0,M454,0)</f>
        <v>0</v>
      </c>
      <c r="AK454" s="83">
        <f>IF(AN454=15,M454,0)</f>
        <v>0</v>
      </c>
      <c r="AL454" s="83">
        <f>IF(AN454=21,M454,0)</f>
        <v>0</v>
      </c>
      <c r="AN454" s="83">
        <v>21</v>
      </c>
      <c r="AO454" s="83">
        <f>L454*1</f>
        <v>0</v>
      </c>
      <c r="AP454" s="83">
        <f>L454*(1-1)</f>
        <v>0</v>
      </c>
      <c r="AQ454" s="85" t="s">
        <v>52</v>
      </c>
      <c r="AV454" s="83">
        <f>AW454+AX454</f>
        <v>0</v>
      </c>
      <c r="AW454" s="83">
        <f>K454*AO454</f>
        <v>0</v>
      </c>
      <c r="AX454" s="83">
        <f>K454*AP454</f>
        <v>0</v>
      </c>
      <c r="AY454" s="85" t="s">
        <v>733</v>
      </c>
      <c r="AZ454" s="85" t="s">
        <v>724</v>
      </c>
      <c r="BA454" s="72" t="s">
        <v>58</v>
      </c>
      <c r="BC454" s="83">
        <f>AW454+AX454</f>
        <v>0</v>
      </c>
      <c r="BD454" s="83">
        <f>L454/(100-BE454)*100</f>
        <v>0</v>
      </c>
      <c r="BE454" s="83">
        <v>0</v>
      </c>
      <c r="BF454" s="83">
        <f>454</f>
        <v>454</v>
      </c>
      <c r="BH454" s="83">
        <f>K454*AO454</f>
        <v>0</v>
      </c>
      <c r="BI454" s="83">
        <f>K454*AP454</f>
        <v>0</v>
      </c>
      <c r="BJ454" s="83">
        <f>K454*L454</f>
        <v>0</v>
      </c>
      <c r="BK454" s="83"/>
      <c r="BL454" s="83">
        <v>89</v>
      </c>
    </row>
    <row r="455" spans="1:13" ht="15" customHeight="1">
      <c r="A455" s="86"/>
      <c r="C455" s="87" t="s">
        <v>146</v>
      </c>
      <c r="I455" s="87" t="s">
        <v>49</v>
      </c>
      <c r="K455" s="88">
        <v>15.000000000000002</v>
      </c>
      <c r="M455" s="89"/>
    </row>
    <row r="456" spans="1:64" ht="15" customHeight="1">
      <c r="A456" s="65" t="s">
        <v>750</v>
      </c>
      <c r="B456" s="66" t="s">
        <v>757</v>
      </c>
      <c r="C456" s="150" t="s">
        <v>758</v>
      </c>
      <c r="D456" s="150"/>
      <c r="E456" s="150"/>
      <c r="F456" s="150"/>
      <c r="G456" s="150"/>
      <c r="H456" s="150"/>
      <c r="I456" s="150"/>
      <c r="J456" s="66" t="s">
        <v>55</v>
      </c>
      <c r="K456" s="83">
        <v>15</v>
      </c>
      <c r="L456" s="108"/>
      <c r="M456" s="84">
        <f>K456*L456</f>
        <v>0</v>
      </c>
      <c r="Z456" s="83">
        <f>IF(AQ456="5",BJ456,0)</f>
        <v>0</v>
      </c>
      <c r="AB456" s="83">
        <f>IF(AQ456="1",BH456,0)</f>
        <v>0</v>
      </c>
      <c r="AC456" s="83">
        <f>IF(AQ456="1",BI456,0)</f>
        <v>0</v>
      </c>
      <c r="AD456" s="83">
        <f>IF(AQ456="7",BH456,0)</f>
        <v>0</v>
      </c>
      <c r="AE456" s="83">
        <f>IF(AQ456="7",BI456,0)</f>
        <v>0</v>
      </c>
      <c r="AF456" s="83">
        <f>IF(AQ456="2",BH456,0)</f>
        <v>0</v>
      </c>
      <c r="AG456" s="83">
        <f>IF(AQ456="2",BI456,0)</f>
        <v>0</v>
      </c>
      <c r="AH456" s="83">
        <f>IF(AQ456="0",BJ456,0)</f>
        <v>0</v>
      </c>
      <c r="AI456" s="72" t="s">
        <v>49</v>
      </c>
      <c r="AJ456" s="83">
        <f>IF(AN456=0,M456,0)</f>
        <v>0</v>
      </c>
      <c r="AK456" s="83">
        <f>IF(AN456=15,M456,0)</f>
        <v>0</v>
      </c>
      <c r="AL456" s="83">
        <f>IF(AN456=21,M456,0)</f>
        <v>0</v>
      </c>
      <c r="AN456" s="83">
        <v>21</v>
      </c>
      <c r="AO456" s="83">
        <f>L456*0.800743891402715</f>
        <v>0</v>
      </c>
      <c r="AP456" s="83">
        <f>L456*(1-0.800743891402715)</f>
        <v>0</v>
      </c>
      <c r="AQ456" s="85" t="s">
        <v>52</v>
      </c>
      <c r="AV456" s="83">
        <f>AW456+AX456</f>
        <v>0</v>
      </c>
      <c r="AW456" s="83">
        <f>K456*AO456</f>
        <v>0</v>
      </c>
      <c r="AX456" s="83">
        <f>K456*AP456</f>
        <v>0</v>
      </c>
      <c r="AY456" s="85" t="s">
        <v>733</v>
      </c>
      <c r="AZ456" s="85" t="s">
        <v>724</v>
      </c>
      <c r="BA456" s="72" t="s">
        <v>58</v>
      </c>
      <c r="BC456" s="83">
        <f>AW456+AX456</f>
        <v>0</v>
      </c>
      <c r="BD456" s="83">
        <f>L456/(100-BE456)*100</f>
        <v>0</v>
      </c>
      <c r="BE456" s="83">
        <v>0</v>
      </c>
      <c r="BF456" s="83">
        <f>456</f>
        <v>456</v>
      </c>
      <c r="BH456" s="83">
        <f>K456*AO456</f>
        <v>0</v>
      </c>
      <c r="BI456" s="83">
        <f>K456*AP456</f>
        <v>0</v>
      </c>
      <c r="BJ456" s="83">
        <f>K456*L456</f>
        <v>0</v>
      </c>
      <c r="BK456" s="83"/>
      <c r="BL456" s="83">
        <v>89</v>
      </c>
    </row>
    <row r="457" spans="1:13" ht="13.5" customHeight="1">
      <c r="A457" s="86"/>
      <c r="B457" s="90" t="s">
        <v>273</v>
      </c>
      <c r="C457" s="161" t="s">
        <v>759</v>
      </c>
      <c r="D457" s="162"/>
      <c r="E457" s="162"/>
      <c r="F457" s="162"/>
      <c r="G457" s="162"/>
      <c r="H457" s="162"/>
      <c r="I457" s="162"/>
      <c r="J457" s="162"/>
      <c r="K457" s="162"/>
      <c r="L457" s="162"/>
      <c r="M457" s="163"/>
    </row>
    <row r="458" spans="1:13" ht="15" customHeight="1">
      <c r="A458" s="86"/>
      <c r="C458" s="87" t="s">
        <v>146</v>
      </c>
      <c r="I458" s="87" t="s">
        <v>49</v>
      </c>
      <c r="K458" s="88">
        <v>15.000000000000002</v>
      </c>
      <c r="M458" s="89"/>
    </row>
    <row r="459" spans="1:13" ht="27" customHeight="1">
      <c r="A459" s="86"/>
      <c r="B459" s="90" t="s">
        <v>60</v>
      </c>
      <c r="C459" s="161" t="s">
        <v>760</v>
      </c>
      <c r="D459" s="162"/>
      <c r="E459" s="162"/>
      <c r="F459" s="162"/>
      <c r="G459" s="162"/>
      <c r="H459" s="162"/>
      <c r="I459" s="162"/>
      <c r="J459" s="162"/>
      <c r="K459" s="162"/>
      <c r="L459" s="162"/>
      <c r="M459" s="163"/>
    </row>
    <row r="460" spans="1:64" ht="15" customHeight="1">
      <c r="A460" s="65" t="s">
        <v>753</v>
      </c>
      <c r="B460" s="66" t="s">
        <v>762</v>
      </c>
      <c r="C460" s="150" t="s">
        <v>763</v>
      </c>
      <c r="D460" s="150"/>
      <c r="E460" s="150"/>
      <c r="F460" s="150"/>
      <c r="G460" s="150"/>
      <c r="H460" s="150"/>
      <c r="I460" s="150"/>
      <c r="J460" s="66" t="s">
        <v>55</v>
      </c>
      <c r="K460" s="83">
        <v>1</v>
      </c>
      <c r="L460" s="108"/>
      <c r="M460" s="84">
        <f>K460*L460</f>
        <v>0</v>
      </c>
      <c r="Z460" s="83">
        <f>IF(AQ460="5",BJ460,0)</f>
        <v>0</v>
      </c>
      <c r="AB460" s="83">
        <f>IF(AQ460="1",BH460,0)</f>
        <v>0</v>
      </c>
      <c r="AC460" s="83">
        <f>IF(AQ460="1",BI460,0)</f>
        <v>0</v>
      </c>
      <c r="AD460" s="83">
        <f>IF(AQ460="7",BH460,0)</f>
        <v>0</v>
      </c>
      <c r="AE460" s="83">
        <f>IF(AQ460="7",BI460,0)</f>
        <v>0</v>
      </c>
      <c r="AF460" s="83">
        <f>IF(AQ460="2",BH460,0)</f>
        <v>0</v>
      </c>
      <c r="AG460" s="83">
        <f>IF(AQ460="2",BI460,0)</f>
        <v>0</v>
      </c>
      <c r="AH460" s="83">
        <f>IF(AQ460="0",BJ460,0)</f>
        <v>0</v>
      </c>
      <c r="AI460" s="72" t="s">
        <v>49</v>
      </c>
      <c r="AJ460" s="83">
        <f>IF(AN460=0,M460,0)</f>
        <v>0</v>
      </c>
      <c r="AK460" s="83">
        <f>IF(AN460=15,M460,0)</f>
        <v>0</v>
      </c>
      <c r="AL460" s="83">
        <f>IF(AN460=21,M460,0)</f>
        <v>0</v>
      </c>
      <c r="AN460" s="83">
        <v>21</v>
      </c>
      <c r="AO460" s="83">
        <f>L460*0.123937823834197</f>
        <v>0</v>
      </c>
      <c r="AP460" s="83">
        <f>L460*(1-0.123937823834197)</f>
        <v>0</v>
      </c>
      <c r="AQ460" s="85" t="s">
        <v>52</v>
      </c>
      <c r="AV460" s="83">
        <f>AW460+AX460</f>
        <v>0</v>
      </c>
      <c r="AW460" s="83">
        <f>K460*AO460</f>
        <v>0</v>
      </c>
      <c r="AX460" s="83">
        <f>K460*AP460</f>
        <v>0</v>
      </c>
      <c r="AY460" s="85" t="s">
        <v>733</v>
      </c>
      <c r="AZ460" s="85" t="s">
        <v>724</v>
      </c>
      <c r="BA460" s="72" t="s">
        <v>58</v>
      </c>
      <c r="BC460" s="83">
        <f>AW460+AX460</f>
        <v>0</v>
      </c>
      <c r="BD460" s="83">
        <f>L460/(100-BE460)*100</f>
        <v>0</v>
      </c>
      <c r="BE460" s="83">
        <v>0</v>
      </c>
      <c r="BF460" s="83">
        <f>460</f>
        <v>460</v>
      </c>
      <c r="BH460" s="83">
        <f>K460*AO460</f>
        <v>0</v>
      </c>
      <c r="BI460" s="83">
        <f>K460*AP460</f>
        <v>0</v>
      </c>
      <c r="BJ460" s="83">
        <f>K460*L460</f>
        <v>0</v>
      </c>
      <c r="BK460" s="83"/>
      <c r="BL460" s="83">
        <v>89</v>
      </c>
    </row>
    <row r="461" spans="1:13" ht="15" customHeight="1">
      <c r="A461" s="86"/>
      <c r="C461" s="87" t="s">
        <v>52</v>
      </c>
      <c r="I461" s="87" t="s">
        <v>49</v>
      </c>
      <c r="K461" s="88">
        <v>1</v>
      </c>
      <c r="M461" s="89"/>
    </row>
    <row r="462" spans="1:13" ht="67.5" customHeight="1">
      <c r="A462" s="86"/>
      <c r="B462" s="90" t="s">
        <v>60</v>
      </c>
      <c r="C462" s="161" t="s">
        <v>764</v>
      </c>
      <c r="D462" s="162"/>
      <c r="E462" s="162"/>
      <c r="F462" s="162"/>
      <c r="G462" s="162"/>
      <c r="H462" s="162"/>
      <c r="I462" s="162"/>
      <c r="J462" s="162"/>
      <c r="K462" s="162"/>
      <c r="L462" s="162"/>
      <c r="M462" s="163"/>
    </row>
    <row r="463" spans="1:64" ht="15" customHeight="1">
      <c r="A463" s="65" t="s">
        <v>756</v>
      </c>
      <c r="B463" s="66" t="s">
        <v>766</v>
      </c>
      <c r="C463" s="150" t="s">
        <v>767</v>
      </c>
      <c r="D463" s="150"/>
      <c r="E463" s="150"/>
      <c r="F463" s="150"/>
      <c r="G463" s="150"/>
      <c r="H463" s="150"/>
      <c r="I463" s="150"/>
      <c r="J463" s="66" t="s">
        <v>55</v>
      </c>
      <c r="K463" s="83">
        <v>1</v>
      </c>
      <c r="L463" s="108"/>
      <c r="M463" s="84">
        <f>K463*L463</f>
        <v>0</v>
      </c>
      <c r="Z463" s="83">
        <f>IF(AQ463="5",BJ463,0)</f>
        <v>0</v>
      </c>
      <c r="AB463" s="83">
        <f>IF(AQ463="1",BH463,0)</f>
        <v>0</v>
      </c>
      <c r="AC463" s="83">
        <f>IF(AQ463="1",BI463,0)</f>
        <v>0</v>
      </c>
      <c r="AD463" s="83">
        <f>IF(AQ463="7",BH463,0)</f>
        <v>0</v>
      </c>
      <c r="AE463" s="83">
        <f>IF(AQ463="7",BI463,0)</f>
        <v>0</v>
      </c>
      <c r="AF463" s="83">
        <f>IF(AQ463="2",BH463,0)</f>
        <v>0</v>
      </c>
      <c r="AG463" s="83">
        <f>IF(AQ463="2",BI463,0)</f>
        <v>0</v>
      </c>
      <c r="AH463" s="83">
        <f>IF(AQ463="0",BJ463,0)</f>
        <v>0</v>
      </c>
      <c r="AI463" s="72" t="s">
        <v>49</v>
      </c>
      <c r="AJ463" s="83">
        <f>IF(AN463=0,M463,0)</f>
        <v>0</v>
      </c>
      <c r="AK463" s="83">
        <f>IF(AN463=15,M463,0)</f>
        <v>0</v>
      </c>
      <c r="AL463" s="83">
        <f>IF(AN463=21,M463,0)</f>
        <v>0</v>
      </c>
      <c r="AN463" s="83">
        <v>21</v>
      </c>
      <c r="AO463" s="83">
        <f>L463*1</f>
        <v>0</v>
      </c>
      <c r="AP463" s="83">
        <f>L463*(1-1)</f>
        <v>0</v>
      </c>
      <c r="AQ463" s="85" t="s">
        <v>52</v>
      </c>
      <c r="AV463" s="83">
        <f>AW463+AX463</f>
        <v>0</v>
      </c>
      <c r="AW463" s="83">
        <f>K463*AO463</f>
        <v>0</v>
      </c>
      <c r="AX463" s="83">
        <f>K463*AP463</f>
        <v>0</v>
      </c>
      <c r="AY463" s="85" t="s">
        <v>733</v>
      </c>
      <c r="AZ463" s="85" t="s">
        <v>724</v>
      </c>
      <c r="BA463" s="72" t="s">
        <v>58</v>
      </c>
      <c r="BC463" s="83">
        <f>AW463+AX463</f>
        <v>0</v>
      </c>
      <c r="BD463" s="83">
        <f>L463/(100-BE463)*100</f>
        <v>0</v>
      </c>
      <c r="BE463" s="83">
        <v>0</v>
      </c>
      <c r="BF463" s="83">
        <f>463</f>
        <v>463</v>
      </c>
      <c r="BH463" s="83">
        <f>K463*AO463</f>
        <v>0</v>
      </c>
      <c r="BI463" s="83">
        <f>K463*AP463</f>
        <v>0</v>
      </c>
      <c r="BJ463" s="83">
        <f>K463*L463</f>
        <v>0</v>
      </c>
      <c r="BK463" s="83"/>
      <c r="BL463" s="83">
        <v>89</v>
      </c>
    </row>
    <row r="464" spans="1:13" ht="15" customHeight="1">
      <c r="A464" s="86"/>
      <c r="C464" s="87" t="s">
        <v>52</v>
      </c>
      <c r="I464" s="87" t="s">
        <v>49</v>
      </c>
      <c r="K464" s="88">
        <v>1</v>
      </c>
      <c r="M464" s="89"/>
    </row>
    <row r="465" spans="1:13" ht="12.75" customHeight="1">
      <c r="A465" s="86"/>
      <c r="B465" s="90" t="s">
        <v>60</v>
      </c>
      <c r="C465" s="161" t="s">
        <v>49</v>
      </c>
      <c r="D465" s="162"/>
      <c r="E465" s="162"/>
      <c r="F465" s="162"/>
      <c r="G465" s="162"/>
      <c r="H465" s="162"/>
      <c r="I465" s="162"/>
      <c r="J465" s="162"/>
      <c r="K465" s="162"/>
      <c r="L465" s="162"/>
      <c r="M465" s="163"/>
    </row>
    <row r="466" spans="1:64" ht="15" customHeight="1">
      <c r="A466" s="65" t="s">
        <v>761</v>
      </c>
      <c r="B466" s="66" t="s">
        <v>769</v>
      </c>
      <c r="C466" s="150" t="s">
        <v>770</v>
      </c>
      <c r="D466" s="150"/>
      <c r="E466" s="150"/>
      <c r="F466" s="150"/>
      <c r="G466" s="150"/>
      <c r="H466" s="150"/>
      <c r="I466" s="150"/>
      <c r="J466" s="66" t="s">
        <v>55</v>
      </c>
      <c r="K466" s="83">
        <v>1</v>
      </c>
      <c r="L466" s="108"/>
      <c r="M466" s="84">
        <f>K466*L466</f>
        <v>0</v>
      </c>
      <c r="Z466" s="83">
        <f>IF(AQ466="5",BJ466,0)</f>
        <v>0</v>
      </c>
      <c r="AB466" s="83">
        <f>IF(AQ466="1",BH466,0)</f>
        <v>0</v>
      </c>
      <c r="AC466" s="83">
        <f>IF(AQ466="1",BI466,0)</f>
        <v>0</v>
      </c>
      <c r="AD466" s="83">
        <f>IF(AQ466="7",BH466,0)</f>
        <v>0</v>
      </c>
      <c r="AE466" s="83">
        <f>IF(AQ466="7",BI466,0)</f>
        <v>0</v>
      </c>
      <c r="AF466" s="83">
        <f>IF(AQ466="2",BH466,0)</f>
        <v>0</v>
      </c>
      <c r="AG466" s="83">
        <f>IF(AQ466="2",BI466,0)</f>
        <v>0</v>
      </c>
      <c r="AH466" s="83">
        <f>IF(AQ466="0",BJ466,0)</f>
        <v>0</v>
      </c>
      <c r="AI466" s="72" t="s">
        <v>49</v>
      </c>
      <c r="AJ466" s="83">
        <f>IF(AN466=0,M466,0)</f>
        <v>0</v>
      </c>
      <c r="AK466" s="83">
        <f>IF(AN466=15,M466,0)</f>
        <v>0</v>
      </c>
      <c r="AL466" s="83">
        <f>IF(AN466=21,M466,0)</f>
        <v>0</v>
      </c>
      <c r="AN466" s="83">
        <v>21</v>
      </c>
      <c r="AO466" s="83">
        <f>L466*1</f>
        <v>0</v>
      </c>
      <c r="AP466" s="83">
        <f>L466*(1-1)</f>
        <v>0</v>
      </c>
      <c r="AQ466" s="85" t="s">
        <v>52</v>
      </c>
      <c r="AV466" s="83">
        <f>AW466+AX466</f>
        <v>0</v>
      </c>
      <c r="AW466" s="83">
        <f>K466*AO466</f>
        <v>0</v>
      </c>
      <c r="AX466" s="83">
        <f>K466*AP466</f>
        <v>0</v>
      </c>
      <c r="AY466" s="85" t="s">
        <v>733</v>
      </c>
      <c r="AZ466" s="85" t="s">
        <v>724</v>
      </c>
      <c r="BA466" s="72" t="s">
        <v>58</v>
      </c>
      <c r="BC466" s="83">
        <f>AW466+AX466</f>
        <v>0</v>
      </c>
      <c r="BD466" s="83">
        <f>L466/(100-BE466)*100</f>
        <v>0</v>
      </c>
      <c r="BE466" s="83">
        <v>0</v>
      </c>
      <c r="BF466" s="83">
        <f>466</f>
        <v>466</v>
      </c>
      <c r="BH466" s="83">
        <f>K466*AO466</f>
        <v>0</v>
      </c>
      <c r="BI466" s="83">
        <f>K466*AP466</f>
        <v>0</v>
      </c>
      <c r="BJ466" s="83">
        <f>K466*L466</f>
        <v>0</v>
      </c>
      <c r="BK466" s="83"/>
      <c r="BL466" s="83">
        <v>89</v>
      </c>
    </row>
    <row r="467" spans="1:13" ht="15" customHeight="1">
      <c r="A467" s="86"/>
      <c r="C467" s="87" t="s">
        <v>52</v>
      </c>
      <c r="I467" s="87" t="s">
        <v>49</v>
      </c>
      <c r="K467" s="88">
        <v>1</v>
      </c>
      <c r="M467" s="89"/>
    </row>
    <row r="468" spans="1:64" ht="15" customHeight="1">
      <c r="A468" s="65" t="s">
        <v>765</v>
      </c>
      <c r="B468" s="66" t="s">
        <v>772</v>
      </c>
      <c r="C468" s="150" t="s">
        <v>773</v>
      </c>
      <c r="D468" s="150"/>
      <c r="E468" s="150"/>
      <c r="F468" s="150"/>
      <c r="G468" s="150"/>
      <c r="H468" s="150"/>
      <c r="I468" s="150"/>
      <c r="J468" s="66" t="s">
        <v>55</v>
      </c>
      <c r="K468" s="83">
        <v>1</v>
      </c>
      <c r="L468" s="108"/>
      <c r="M468" s="84">
        <f>K468*L468</f>
        <v>0</v>
      </c>
      <c r="Z468" s="83">
        <f>IF(AQ468="5",BJ468,0)</f>
        <v>0</v>
      </c>
      <c r="AB468" s="83">
        <f>IF(AQ468="1",BH468,0)</f>
        <v>0</v>
      </c>
      <c r="AC468" s="83">
        <f>IF(AQ468="1",BI468,0)</f>
        <v>0</v>
      </c>
      <c r="AD468" s="83">
        <f>IF(AQ468="7",BH468,0)</f>
        <v>0</v>
      </c>
      <c r="AE468" s="83">
        <f>IF(AQ468="7",BI468,0)</f>
        <v>0</v>
      </c>
      <c r="AF468" s="83">
        <f>IF(AQ468="2",BH468,0)</f>
        <v>0</v>
      </c>
      <c r="AG468" s="83">
        <f>IF(AQ468="2",BI468,0)</f>
        <v>0</v>
      </c>
      <c r="AH468" s="83">
        <f>IF(AQ468="0",BJ468,0)</f>
        <v>0</v>
      </c>
      <c r="AI468" s="72" t="s">
        <v>49</v>
      </c>
      <c r="AJ468" s="83">
        <f>IF(AN468=0,M468,0)</f>
        <v>0</v>
      </c>
      <c r="AK468" s="83">
        <f>IF(AN468=15,M468,0)</f>
        <v>0</v>
      </c>
      <c r="AL468" s="83">
        <f>IF(AN468=21,M468,0)</f>
        <v>0</v>
      </c>
      <c r="AN468" s="83">
        <v>21</v>
      </c>
      <c r="AO468" s="83">
        <f>L468*0.704965197215777</f>
        <v>0</v>
      </c>
      <c r="AP468" s="83">
        <f>L468*(1-0.704965197215777)</f>
        <v>0</v>
      </c>
      <c r="AQ468" s="85" t="s">
        <v>52</v>
      </c>
      <c r="AV468" s="83">
        <f>AW468+AX468</f>
        <v>0</v>
      </c>
      <c r="AW468" s="83">
        <f>K468*AO468</f>
        <v>0</v>
      </c>
      <c r="AX468" s="83">
        <f>K468*AP468</f>
        <v>0</v>
      </c>
      <c r="AY468" s="85" t="s">
        <v>733</v>
      </c>
      <c r="AZ468" s="85" t="s">
        <v>724</v>
      </c>
      <c r="BA468" s="72" t="s">
        <v>58</v>
      </c>
      <c r="BC468" s="83">
        <f>AW468+AX468</f>
        <v>0</v>
      </c>
      <c r="BD468" s="83">
        <f>L468/(100-BE468)*100</f>
        <v>0</v>
      </c>
      <c r="BE468" s="83">
        <v>0</v>
      </c>
      <c r="BF468" s="83">
        <f>468</f>
        <v>468</v>
      </c>
      <c r="BH468" s="83">
        <f>K468*AO468</f>
        <v>0</v>
      </c>
      <c r="BI468" s="83">
        <f>K468*AP468</f>
        <v>0</v>
      </c>
      <c r="BJ468" s="83">
        <f>K468*L468</f>
        <v>0</v>
      </c>
      <c r="BK468" s="83"/>
      <c r="BL468" s="83">
        <v>89</v>
      </c>
    </row>
    <row r="469" spans="1:13" ht="13.5" customHeight="1">
      <c r="A469" s="86"/>
      <c r="B469" s="90" t="s">
        <v>273</v>
      </c>
      <c r="C469" s="161" t="s">
        <v>774</v>
      </c>
      <c r="D469" s="162"/>
      <c r="E469" s="162"/>
      <c r="F469" s="162"/>
      <c r="G469" s="162"/>
      <c r="H469" s="162"/>
      <c r="I469" s="162"/>
      <c r="J469" s="162"/>
      <c r="K469" s="162"/>
      <c r="L469" s="162"/>
      <c r="M469" s="163"/>
    </row>
    <row r="470" spans="1:13" ht="15" customHeight="1">
      <c r="A470" s="86"/>
      <c r="C470" s="87" t="s">
        <v>52</v>
      </c>
      <c r="I470" s="87" t="s">
        <v>49</v>
      </c>
      <c r="K470" s="88">
        <v>1</v>
      </c>
      <c r="M470" s="89"/>
    </row>
    <row r="471" spans="1:13" ht="27" customHeight="1">
      <c r="A471" s="86"/>
      <c r="B471" s="90" t="s">
        <v>60</v>
      </c>
      <c r="C471" s="161" t="s">
        <v>775</v>
      </c>
      <c r="D471" s="162"/>
      <c r="E471" s="162"/>
      <c r="F471" s="162"/>
      <c r="G471" s="162"/>
      <c r="H471" s="162"/>
      <c r="I471" s="162"/>
      <c r="J471" s="162"/>
      <c r="K471" s="162"/>
      <c r="L471" s="162"/>
      <c r="M471" s="163"/>
    </row>
    <row r="472" spans="1:47" ht="15" customHeight="1">
      <c r="A472" s="78" t="s">
        <v>49</v>
      </c>
      <c r="B472" s="79" t="s">
        <v>562</v>
      </c>
      <c r="C472" s="168" t="s">
        <v>776</v>
      </c>
      <c r="D472" s="168"/>
      <c r="E472" s="168"/>
      <c r="F472" s="168"/>
      <c r="G472" s="168"/>
      <c r="H472" s="168"/>
      <c r="I472" s="168"/>
      <c r="J472" s="80" t="s">
        <v>3</v>
      </c>
      <c r="K472" s="80" t="s">
        <v>3</v>
      </c>
      <c r="L472" s="80" t="s">
        <v>3</v>
      </c>
      <c r="M472" s="81">
        <f>SUM(M473:M577)</f>
        <v>0</v>
      </c>
      <c r="AI472" s="72" t="s">
        <v>49</v>
      </c>
      <c r="AS472" s="82">
        <f>SUM(AJ473:AJ577)</f>
        <v>0</v>
      </c>
      <c r="AT472" s="82">
        <f>SUM(AK473:AK577)</f>
        <v>0</v>
      </c>
      <c r="AU472" s="82">
        <f>SUM(AL473:AL577)</f>
        <v>0</v>
      </c>
    </row>
    <row r="473" spans="1:64" ht="15" customHeight="1">
      <c r="A473" s="65" t="s">
        <v>768</v>
      </c>
      <c r="B473" s="66" t="s">
        <v>778</v>
      </c>
      <c r="C473" s="150" t="s">
        <v>779</v>
      </c>
      <c r="D473" s="150"/>
      <c r="E473" s="150"/>
      <c r="F473" s="150"/>
      <c r="G473" s="150"/>
      <c r="H473" s="150"/>
      <c r="I473" s="150"/>
      <c r="J473" s="66" t="s">
        <v>191</v>
      </c>
      <c r="K473" s="83">
        <v>35.5</v>
      </c>
      <c r="L473" s="108"/>
      <c r="M473" s="84">
        <f>K473*L473</f>
        <v>0</v>
      </c>
      <c r="Z473" s="83">
        <f>IF(AQ473="5",BJ473,0)</f>
        <v>0</v>
      </c>
      <c r="AB473" s="83">
        <f>IF(AQ473="1",BH473,0)</f>
        <v>0</v>
      </c>
      <c r="AC473" s="83">
        <f>IF(AQ473="1",BI473,0)</f>
        <v>0</v>
      </c>
      <c r="AD473" s="83">
        <f>IF(AQ473="7",BH473,0)</f>
        <v>0</v>
      </c>
      <c r="AE473" s="83">
        <f>IF(AQ473="7",BI473,0)</f>
        <v>0</v>
      </c>
      <c r="AF473" s="83">
        <f>IF(AQ473="2",BH473,0)</f>
        <v>0</v>
      </c>
      <c r="AG473" s="83">
        <f>IF(AQ473="2",BI473,0)</f>
        <v>0</v>
      </c>
      <c r="AH473" s="83">
        <f>IF(AQ473="0",BJ473,0)</f>
        <v>0</v>
      </c>
      <c r="AI473" s="72" t="s">
        <v>49</v>
      </c>
      <c r="AJ473" s="83">
        <f>IF(AN473=0,M473,0)</f>
        <v>0</v>
      </c>
      <c r="AK473" s="83">
        <f>IF(AN473=15,M473,0)</f>
        <v>0</v>
      </c>
      <c r="AL473" s="83">
        <f>IF(AN473=21,M473,0)</f>
        <v>0</v>
      </c>
      <c r="AN473" s="83">
        <v>21</v>
      </c>
      <c r="AO473" s="83">
        <f>L473*0.488173913043478</f>
        <v>0</v>
      </c>
      <c r="AP473" s="83">
        <f>L473*(1-0.488173913043478)</f>
        <v>0</v>
      </c>
      <c r="AQ473" s="85" t="s">
        <v>52</v>
      </c>
      <c r="AV473" s="83">
        <f>AW473+AX473</f>
        <v>0</v>
      </c>
      <c r="AW473" s="83">
        <f>K473*AO473</f>
        <v>0</v>
      </c>
      <c r="AX473" s="83">
        <f>K473*AP473</f>
        <v>0</v>
      </c>
      <c r="AY473" s="85" t="s">
        <v>780</v>
      </c>
      <c r="AZ473" s="85" t="s">
        <v>781</v>
      </c>
      <c r="BA473" s="72" t="s">
        <v>58</v>
      </c>
      <c r="BC473" s="83">
        <f>AW473+AX473</f>
        <v>0</v>
      </c>
      <c r="BD473" s="83">
        <f>L473/(100-BE473)*100</f>
        <v>0</v>
      </c>
      <c r="BE473" s="83">
        <v>0</v>
      </c>
      <c r="BF473" s="83">
        <f>473</f>
        <v>473</v>
      </c>
      <c r="BH473" s="83">
        <f>K473*AO473</f>
        <v>0</v>
      </c>
      <c r="BI473" s="83">
        <f>K473*AP473</f>
        <v>0</v>
      </c>
      <c r="BJ473" s="83">
        <f>K473*L473</f>
        <v>0</v>
      </c>
      <c r="BK473" s="83"/>
      <c r="BL473" s="83">
        <v>91</v>
      </c>
    </row>
    <row r="474" spans="1:13" ht="15" customHeight="1">
      <c r="A474" s="86"/>
      <c r="C474" s="87" t="s">
        <v>219</v>
      </c>
      <c r="I474" s="87" t="s">
        <v>782</v>
      </c>
      <c r="K474" s="88">
        <v>28.000000000000004</v>
      </c>
      <c r="M474" s="89"/>
    </row>
    <row r="475" spans="1:13" ht="15" customHeight="1">
      <c r="A475" s="86"/>
      <c r="C475" s="87" t="s">
        <v>783</v>
      </c>
      <c r="I475" s="87" t="s">
        <v>784</v>
      </c>
      <c r="K475" s="88">
        <v>7.500000000000001</v>
      </c>
      <c r="M475" s="89"/>
    </row>
    <row r="476" spans="1:13" ht="13.5" customHeight="1">
      <c r="A476" s="86"/>
      <c r="B476" s="90" t="s">
        <v>60</v>
      </c>
      <c r="C476" s="161" t="s">
        <v>785</v>
      </c>
      <c r="D476" s="162"/>
      <c r="E476" s="162"/>
      <c r="F476" s="162"/>
      <c r="G476" s="162"/>
      <c r="H476" s="162"/>
      <c r="I476" s="162"/>
      <c r="J476" s="162"/>
      <c r="K476" s="162"/>
      <c r="L476" s="162"/>
      <c r="M476" s="163"/>
    </row>
    <row r="477" spans="1:64" ht="15" customHeight="1">
      <c r="A477" s="65" t="s">
        <v>771</v>
      </c>
      <c r="B477" s="66" t="s">
        <v>787</v>
      </c>
      <c r="C477" s="150" t="s">
        <v>788</v>
      </c>
      <c r="D477" s="150"/>
      <c r="E477" s="150"/>
      <c r="F477" s="150"/>
      <c r="G477" s="150"/>
      <c r="H477" s="150"/>
      <c r="I477" s="150"/>
      <c r="J477" s="66" t="s">
        <v>191</v>
      </c>
      <c r="K477" s="83">
        <v>233.5</v>
      </c>
      <c r="L477" s="108"/>
      <c r="M477" s="84">
        <f>K477*L477</f>
        <v>0</v>
      </c>
      <c r="Z477" s="83">
        <f>IF(AQ477="5",BJ477,0)</f>
        <v>0</v>
      </c>
      <c r="AB477" s="83">
        <f>IF(AQ477="1",BH477,0)</f>
        <v>0</v>
      </c>
      <c r="AC477" s="83">
        <f>IF(AQ477="1",BI477,0)</f>
        <v>0</v>
      </c>
      <c r="AD477" s="83">
        <f>IF(AQ477="7",BH477,0)</f>
        <v>0</v>
      </c>
      <c r="AE477" s="83">
        <f>IF(AQ477="7",BI477,0)</f>
        <v>0</v>
      </c>
      <c r="AF477" s="83">
        <f>IF(AQ477="2",BH477,0)</f>
        <v>0</v>
      </c>
      <c r="AG477" s="83">
        <f>IF(AQ477="2",BI477,0)</f>
        <v>0</v>
      </c>
      <c r="AH477" s="83">
        <f>IF(AQ477="0",BJ477,0)</f>
        <v>0</v>
      </c>
      <c r="AI477" s="72" t="s">
        <v>49</v>
      </c>
      <c r="AJ477" s="83">
        <f>IF(AN477=0,M477,0)</f>
        <v>0</v>
      </c>
      <c r="AK477" s="83">
        <f>IF(AN477=15,M477,0)</f>
        <v>0</v>
      </c>
      <c r="AL477" s="83">
        <f>IF(AN477=21,M477,0)</f>
        <v>0</v>
      </c>
      <c r="AN477" s="83">
        <v>21</v>
      </c>
      <c r="AO477" s="83">
        <f>L477*0.634025316455696</f>
        <v>0</v>
      </c>
      <c r="AP477" s="83">
        <f>L477*(1-0.634025316455696)</f>
        <v>0</v>
      </c>
      <c r="AQ477" s="85" t="s">
        <v>52</v>
      </c>
      <c r="AV477" s="83">
        <f>AW477+AX477</f>
        <v>0</v>
      </c>
      <c r="AW477" s="83">
        <f>K477*AO477</f>
        <v>0</v>
      </c>
      <c r="AX477" s="83">
        <f>K477*AP477</f>
        <v>0</v>
      </c>
      <c r="AY477" s="85" t="s">
        <v>780</v>
      </c>
      <c r="AZ477" s="85" t="s">
        <v>781</v>
      </c>
      <c r="BA477" s="72" t="s">
        <v>58</v>
      </c>
      <c r="BC477" s="83">
        <f>AW477+AX477</f>
        <v>0</v>
      </c>
      <c r="BD477" s="83">
        <f>L477/(100-BE477)*100</f>
        <v>0</v>
      </c>
      <c r="BE477" s="83">
        <v>0</v>
      </c>
      <c r="BF477" s="83">
        <f>477</f>
        <v>477</v>
      </c>
      <c r="BH477" s="83">
        <f>K477*AO477</f>
        <v>0</v>
      </c>
      <c r="BI477" s="83">
        <f>K477*AP477</f>
        <v>0</v>
      </c>
      <c r="BJ477" s="83">
        <f>K477*L477</f>
        <v>0</v>
      </c>
      <c r="BK477" s="83"/>
      <c r="BL477" s="83">
        <v>91</v>
      </c>
    </row>
    <row r="478" spans="1:13" ht="15" customHeight="1">
      <c r="A478" s="86"/>
      <c r="C478" s="87" t="s">
        <v>789</v>
      </c>
      <c r="I478" s="87" t="s">
        <v>49</v>
      </c>
      <c r="K478" s="88">
        <v>82.5</v>
      </c>
      <c r="M478" s="89"/>
    </row>
    <row r="479" spans="1:13" ht="15" customHeight="1">
      <c r="A479" s="86"/>
      <c r="C479" s="87" t="s">
        <v>790</v>
      </c>
      <c r="I479" s="87" t="s">
        <v>791</v>
      </c>
      <c r="K479" s="88">
        <v>151</v>
      </c>
      <c r="M479" s="89"/>
    </row>
    <row r="480" spans="1:64" ht="15" customHeight="1">
      <c r="A480" s="65" t="s">
        <v>777</v>
      </c>
      <c r="B480" s="66" t="s">
        <v>793</v>
      </c>
      <c r="C480" s="150" t="s">
        <v>794</v>
      </c>
      <c r="D480" s="150"/>
      <c r="E480" s="150"/>
      <c r="F480" s="150"/>
      <c r="G480" s="150"/>
      <c r="H480" s="150"/>
      <c r="I480" s="150"/>
      <c r="J480" s="66" t="s">
        <v>191</v>
      </c>
      <c r="K480" s="83">
        <v>58</v>
      </c>
      <c r="L480" s="108"/>
      <c r="M480" s="84">
        <f>K480*L480</f>
        <v>0</v>
      </c>
      <c r="Z480" s="83">
        <f>IF(AQ480="5",BJ480,0)</f>
        <v>0</v>
      </c>
      <c r="AB480" s="83">
        <f>IF(AQ480="1",BH480,0)</f>
        <v>0</v>
      </c>
      <c r="AC480" s="83">
        <f>IF(AQ480="1",BI480,0)</f>
        <v>0</v>
      </c>
      <c r="AD480" s="83">
        <f>IF(AQ480="7",BH480,0)</f>
        <v>0</v>
      </c>
      <c r="AE480" s="83">
        <f>IF(AQ480="7",BI480,0)</f>
        <v>0</v>
      </c>
      <c r="AF480" s="83">
        <f>IF(AQ480="2",BH480,0)</f>
        <v>0</v>
      </c>
      <c r="AG480" s="83">
        <f>IF(AQ480="2",BI480,0)</f>
        <v>0</v>
      </c>
      <c r="AH480" s="83">
        <f>IF(AQ480="0",BJ480,0)</f>
        <v>0</v>
      </c>
      <c r="AI480" s="72" t="s">
        <v>49</v>
      </c>
      <c r="AJ480" s="83">
        <f>IF(AN480=0,M480,0)</f>
        <v>0</v>
      </c>
      <c r="AK480" s="83">
        <f>IF(AN480=15,M480,0)</f>
        <v>0</v>
      </c>
      <c r="AL480" s="83">
        <f>IF(AN480=21,M480,0)</f>
        <v>0</v>
      </c>
      <c r="AN480" s="83">
        <v>21</v>
      </c>
      <c r="AO480" s="83">
        <f>L480*0.630192627238599</f>
        <v>0</v>
      </c>
      <c r="AP480" s="83">
        <f>L480*(1-0.630192627238599)</f>
        <v>0</v>
      </c>
      <c r="AQ480" s="85" t="s">
        <v>52</v>
      </c>
      <c r="AV480" s="83">
        <f>AW480+AX480</f>
        <v>0</v>
      </c>
      <c r="AW480" s="83">
        <f>K480*AO480</f>
        <v>0</v>
      </c>
      <c r="AX480" s="83">
        <f>K480*AP480</f>
        <v>0</v>
      </c>
      <c r="AY480" s="85" t="s">
        <v>780</v>
      </c>
      <c r="AZ480" s="85" t="s">
        <v>781</v>
      </c>
      <c r="BA480" s="72" t="s">
        <v>58</v>
      </c>
      <c r="BC480" s="83">
        <f>AW480+AX480</f>
        <v>0</v>
      </c>
      <c r="BD480" s="83">
        <f>L480/(100-BE480)*100</f>
        <v>0</v>
      </c>
      <c r="BE480" s="83">
        <v>0</v>
      </c>
      <c r="BF480" s="83">
        <f>480</f>
        <v>480</v>
      </c>
      <c r="BH480" s="83">
        <f>K480*AO480</f>
        <v>0</v>
      </c>
      <c r="BI480" s="83">
        <f>K480*AP480</f>
        <v>0</v>
      </c>
      <c r="BJ480" s="83">
        <f>K480*L480</f>
        <v>0</v>
      </c>
      <c r="BK480" s="83"/>
      <c r="BL480" s="83">
        <v>91</v>
      </c>
    </row>
    <row r="481" spans="1:13" ht="15" customHeight="1">
      <c r="A481" s="86"/>
      <c r="C481" s="87" t="s">
        <v>795</v>
      </c>
      <c r="I481" s="87" t="s">
        <v>796</v>
      </c>
      <c r="K481" s="88">
        <v>56.00000000000001</v>
      </c>
      <c r="M481" s="89"/>
    </row>
    <row r="482" spans="1:13" ht="15" customHeight="1">
      <c r="A482" s="86"/>
      <c r="C482" s="87" t="s">
        <v>62</v>
      </c>
      <c r="I482" s="87" t="s">
        <v>797</v>
      </c>
      <c r="K482" s="88">
        <v>2</v>
      </c>
      <c r="M482" s="89"/>
    </row>
    <row r="483" spans="1:64" ht="15" customHeight="1">
      <c r="A483" s="65" t="s">
        <v>786</v>
      </c>
      <c r="B483" s="66" t="s">
        <v>799</v>
      </c>
      <c r="C483" s="150" t="s">
        <v>800</v>
      </c>
      <c r="D483" s="150"/>
      <c r="E483" s="150"/>
      <c r="F483" s="150"/>
      <c r="G483" s="150"/>
      <c r="H483" s="150"/>
      <c r="I483" s="150"/>
      <c r="J483" s="66" t="s">
        <v>191</v>
      </c>
      <c r="K483" s="83">
        <v>642</v>
      </c>
      <c r="L483" s="108"/>
      <c r="M483" s="84">
        <f>K483*L483</f>
        <v>0</v>
      </c>
      <c r="Z483" s="83">
        <f>IF(AQ483="5",BJ483,0)</f>
        <v>0</v>
      </c>
      <c r="AB483" s="83">
        <f>IF(AQ483="1",BH483,0)</f>
        <v>0</v>
      </c>
      <c r="AC483" s="83">
        <f>IF(AQ483="1",BI483,0)</f>
        <v>0</v>
      </c>
      <c r="AD483" s="83">
        <f>IF(AQ483="7",BH483,0)</f>
        <v>0</v>
      </c>
      <c r="AE483" s="83">
        <f>IF(AQ483="7",BI483,0)</f>
        <v>0</v>
      </c>
      <c r="AF483" s="83">
        <f>IF(AQ483="2",BH483,0)</f>
        <v>0</v>
      </c>
      <c r="AG483" s="83">
        <f>IF(AQ483="2",BI483,0)</f>
        <v>0</v>
      </c>
      <c r="AH483" s="83">
        <f>IF(AQ483="0",BJ483,0)</f>
        <v>0</v>
      </c>
      <c r="AI483" s="72" t="s">
        <v>49</v>
      </c>
      <c r="AJ483" s="83">
        <f>IF(AN483=0,M483,0)</f>
        <v>0</v>
      </c>
      <c r="AK483" s="83">
        <f>IF(AN483=15,M483,0)</f>
        <v>0</v>
      </c>
      <c r="AL483" s="83">
        <f>IF(AN483=21,M483,0)</f>
        <v>0</v>
      </c>
      <c r="AN483" s="83">
        <v>21</v>
      </c>
      <c r="AO483" s="83">
        <f>L483*0.494710560860724</f>
        <v>0</v>
      </c>
      <c r="AP483" s="83">
        <f>L483*(1-0.494710560860724)</f>
        <v>0</v>
      </c>
      <c r="AQ483" s="85" t="s">
        <v>52</v>
      </c>
      <c r="AV483" s="83">
        <f>AW483+AX483</f>
        <v>0</v>
      </c>
      <c r="AW483" s="83">
        <f>K483*AO483</f>
        <v>0</v>
      </c>
      <c r="AX483" s="83">
        <f>K483*AP483</f>
        <v>0</v>
      </c>
      <c r="AY483" s="85" t="s">
        <v>780</v>
      </c>
      <c r="AZ483" s="85" t="s">
        <v>781</v>
      </c>
      <c r="BA483" s="72" t="s">
        <v>58</v>
      </c>
      <c r="BC483" s="83">
        <f>AW483+AX483</f>
        <v>0</v>
      </c>
      <c r="BD483" s="83">
        <f>L483/(100-BE483)*100</f>
        <v>0</v>
      </c>
      <c r="BE483" s="83">
        <v>0</v>
      </c>
      <c r="BF483" s="83">
        <f>483</f>
        <v>483</v>
      </c>
      <c r="BH483" s="83">
        <f>K483*AO483</f>
        <v>0</v>
      </c>
      <c r="BI483" s="83">
        <f>K483*AP483</f>
        <v>0</v>
      </c>
      <c r="BJ483" s="83">
        <f>K483*L483</f>
        <v>0</v>
      </c>
      <c r="BK483" s="83"/>
      <c r="BL483" s="83">
        <v>91</v>
      </c>
    </row>
    <row r="484" spans="1:13" ht="15" customHeight="1">
      <c r="A484" s="86"/>
      <c r="C484" s="87" t="s">
        <v>801</v>
      </c>
      <c r="I484" s="87" t="s">
        <v>802</v>
      </c>
      <c r="K484" s="88">
        <v>642</v>
      </c>
      <c r="M484" s="89"/>
    </row>
    <row r="485" spans="1:13" ht="13.5" customHeight="1">
      <c r="A485" s="86"/>
      <c r="B485" s="90" t="s">
        <v>60</v>
      </c>
      <c r="C485" s="161" t="s">
        <v>803</v>
      </c>
      <c r="D485" s="162"/>
      <c r="E485" s="162"/>
      <c r="F485" s="162"/>
      <c r="G485" s="162"/>
      <c r="H485" s="162"/>
      <c r="I485" s="162"/>
      <c r="J485" s="162"/>
      <c r="K485" s="162"/>
      <c r="L485" s="162"/>
      <c r="M485" s="163"/>
    </row>
    <row r="486" spans="1:64" ht="15" customHeight="1">
      <c r="A486" s="65" t="s">
        <v>792</v>
      </c>
      <c r="B486" s="66" t="s">
        <v>805</v>
      </c>
      <c r="C486" s="150" t="s">
        <v>806</v>
      </c>
      <c r="D486" s="150"/>
      <c r="E486" s="150"/>
      <c r="F486" s="150"/>
      <c r="G486" s="150"/>
      <c r="H486" s="150"/>
      <c r="I486" s="150"/>
      <c r="J486" s="66" t="s">
        <v>191</v>
      </c>
      <c r="K486" s="83">
        <v>144.834</v>
      </c>
      <c r="L486" s="108"/>
      <c r="M486" s="84">
        <f>K486*L486</f>
        <v>0</v>
      </c>
      <c r="Z486" s="83">
        <f>IF(AQ486="5",BJ486,0)</f>
        <v>0</v>
      </c>
      <c r="AB486" s="83">
        <f>IF(AQ486="1",BH486,0)</f>
        <v>0</v>
      </c>
      <c r="AC486" s="83">
        <f>IF(AQ486="1",BI486,0)</f>
        <v>0</v>
      </c>
      <c r="AD486" s="83">
        <f>IF(AQ486="7",BH486,0)</f>
        <v>0</v>
      </c>
      <c r="AE486" s="83">
        <f>IF(AQ486="7",BI486,0)</f>
        <v>0</v>
      </c>
      <c r="AF486" s="83">
        <f>IF(AQ486="2",BH486,0)</f>
        <v>0</v>
      </c>
      <c r="AG486" s="83">
        <f>IF(AQ486="2",BI486,0)</f>
        <v>0</v>
      </c>
      <c r="AH486" s="83">
        <f>IF(AQ486="0",BJ486,0)</f>
        <v>0</v>
      </c>
      <c r="AI486" s="72" t="s">
        <v>49</v>
      </c>
      <c r="AJ486" s="83">
        <f>IF(AN486=0,M486,0)</f>
        <v>0</v>
      </c>
      <c r="AK486" s="83">
        <f>IF(AN486=15,M486,0)</f>
        <v>0</v>
      </c>
      <c r="AL486" s="83">
        <f>IF(AN486=21,M486,0)</f>
        <v>0</v>
      </c>
      <c r="AN486" s="83">
        <v>21</v>
      </c>
      <c r="AO486" s="83">
        <f>L486*1</f>
        <v>0</v>
      </c>
      <c r="AP486" s="83">
        <f>L486*(1-1)</f>
        <v>0</v>
      </c>
      <c r="AQ486" s="85" t="s">
        <v>52</v>
      </c>
      <c r="AV486" s="83">
        <f>AW486+AX486</f>
        <v>0</v>
      </c>
      <c r="AW486" s="83">
        <f>K486*AO486</f>
        <v>0</v>
      </c>
      <c r="AX486" s="83">
        <f>K486*AP486</f>
        <v>0</v>
      </c>
      <c r="AY486" s="85" t="s">
        <v>780</v>
      </c>
      <c r="AZ486" s="85" t="s">
        <v>781</v>
      </c>
      <c r="BA486" s="72" t="s">
        <v>58</v>
      </c>
      <c r="BC486" s="83">
        <f>AW486+AX486</f>
        <v>0</v>
      </c>
      <c r="BD486" s="83">
        <f>L486/(100-BE486)*100</f>
        <v>0</v>
      </c>
      <c r="BE486" s="83">
        <v>0</v>
      </c>
      <c r="BF486" s="83">
        <f>486</f>
        <v>486</v>
      </c>
      <c r="BH486" s="83">
        <f>K486*AO486</f>
        <v>0</v>
      </c>
      <c r="BI486" s="83">
        <f>K486*AP486</f>
        <v>0</v>
      </c>
      <c r="BJ486" s="83">
        <f>K486*L486</f>
        <v>0</v>
      </c>
      <c r="BK486" s="83"/>
      <c r="BL486" s="83">
        <v>91</v>
      </c>
    </row>
    <row r="487" spans="1:13" ht="15" customHeight="1">
      <c r="A487" s="86"/>
      <c r="C487" s="87" t="s">
        <v>807</v>
      </c>
      <c r="I487" s="87" t="s">
        <v>808</v>
      </c>
      <c r="K487" s="88">
        <v>143.4</v>
      </c>
      <c r="M487" s="89"/>
    </row>
    <row r="488" spans="1:13" ht="15" customHeight="1">
      <c r="A488" s="86"/>
      <c r="C488" s="87" t="s">
        <v>809</v>
      </c>
      <c r="I488" s="87" t="s">
        <v>49</v>
      </c>
      <c r="K488" s="88">
        <v>1.4340000000000002</v>
      </c>
      <c r="M488" s="89"/>
    </row>
    <row r="489" spans="1:64" ht="15" customHeight="1">
      <c r="A489" s="65" t="s">
        <v>798</v>
      </c>
      <c r="B489" s="66" t="s">
        <v>811</v>
      </c>
      <c r="C489" s="115" t="s">
        <v>1302</v>
      </c>
      <c r="D489" s="150"/>
      <c r="E489" s="150"/>
      <c r="F489" s="150"/>
      <c r="G489" s="150"/>
      <c r="H489" s="150"/>
      <c r="I489" s="150"/>
      <c r="J489" s="66" t="s">
        <v>55</v>
      </c>
      <c r="K489" s="83">
        <v>35</v>
      </c>
      <c r="L489" s="108"/>
      <c r="M489" s="84">
        <f>K489*L489</f>
        <v>0</v>
      </c>
      <c r="Z489" s="83">
        <f>IF(AQ489="5",BJ489,0)</f>
        <v>0</v>
      </c>
      <c r="AB489" s="83">
        <f>IF(AQ489="1",BH489,0)</f>
        <v>0</v>
      </c>
      <c r="AC489" s="83">
        <f>IF(AQ489="1",BI489,0)</f>
        <v>0</v>
      </c>
      <c r="AD489" s="83">
        <f>IF(AQ489="7",BH489,0)</f>
        <v>0</v>
      </c>
      <c r="AE489" s="83">
        <f>IF(AQ489="7",BI489,0)</f>
        <v>0</v>
      </c>
      <c r="AF489" s="83">
        <f>IF(AQ489="2",BH489,0)</f>
        <v>0</v>
      </c>
      <c r="AG489" s="83">
        <f>IF(AQ489="2",BI489,0)</f>
        <v>0</v>
      </c>
      <c r="AH489" s="83">
        <f>IF(AQ489="0",BJ489,0)</f>
        <v>0</v>
      </c>
      <c r="AI489" s="72" t="s">
        <v>49</v>
      </c>
      <c r="AJ489" s="83">
        <f>IF(AN489=0,M489,0)</f>
        <v>0</v>
      </c>
      <c r="AK489" s="83">
        <f>IF(AN489=15,M489,0)</f>
        <v>0</v>
      </c>
      <c r="AL489" s="83">
        <f>IF(AN489=21,M489,0)</f>
        <v>0</v>
      </c>
      <c r="AN489" s="83">
        <v>21</v>
      </c>
      <c r="AO489" s="83">
        <f>L489*0</f>
        <v>0</v>
      </c>
      <c r="AP489" s="83">
        <f>L489*(1-0)</f>
        <v>0</v>
      </c>
      <c r="AQ489" s="85" t="s">
        <v>52</v>
      </c>
      <c r="AV489" s="83">
        <f>AW489+AX489</f>
        <v>0</v>
      </c>
      <c r="AW489" s="83">
        <f>K489*AO489</f>
        <v>0</v>
      </c>
      <c r="AX489" s="83">
        <f>K489*AP489</f>
        <v>0</v>
      </c>
      <c r="AY489" s="85" t="s">
        <v>780</v>
      </c>
      <c r="AZ489" s="85" t="s">
        <v>781</v>
      </c>
      <c r="BA489" s="72" t="s">
        <v>58</v>
      </c>
      <c r="BC489" s="83">
        <f>AW489+AX489</f>
        <v>0</v>
      </c>
      <c r="BD489" s="83">
        <f>L489/(100-BE489)*100</f>
        <v>0</v>
      </c>
      <c r="BE489" s="83">
        <v>0</v>
      </c>
      <c r="BF489" s="83">
        <f>489</f>
        <v>489</v>
      </c>
      <c r="BH489" s="83">
        <f>K489*AO489</f>
        <v>0</v>
      </c>
      <c r="BI489" s="83">
        <f>K489*AP489</f>
        <v>0</v>
      </c>
      <c r="BJ489" s="83">
        <f>K489*L489</f>
        <v>0</v>
      </c>
      <c r="BK489" s="83"/>
      <c r="BL489" s="83">
        <v>91</v>
      </c>
    </row>
    <row r="490" spans="1:64" ht="15" customHeight="1">
      <c r="A490" s="110"/>
      <c r="B490" s="90" t="s">
        <v>273</v>
      </c>
      <c r="C490" s="162" t="s">
        <v>1303</v>
      </c>
      <c r="D490" s="162"/>
      <c r="E490" s="162"/>
      <c r="F490" s="162"/>
      <c r="G490" s="162"/>
      <c r="H490" s="162"/>
      <c r="I490" s="162"/>
      <c r="J490" s="162"/>
      <c r="K490" s="162"/>
      <c r="L490" s="162"/>
      <c r="M490" s="163"/>
      <c r="Z490" s="83"/>
      <c r="AB490" s="83"/>
      <c r="AC490" s="83"/>
      <c r="AD490" s="83"/>
      <c r="AE490" s="83"/>
      <c r="AF490" s="83"/>
      <c r="AG490" s="83"/>
      <c r="AH490" s="83"/>
      <c r="AI490" s="72"/>
      <c r="AJ490" s="83"/>
      <c r="AK490" s="83"/>
      <c r="AL490" s="83"/>
      <c r="AN490" s="83"/>
      <c r="AO490" s="83"/>
      <c r="AP490" s="83"/>
      <c r="AQ490" s="85"/>
      <c r="AV490" s="83"/>
      <c r="AW490" s="83"/>
      <c r="AX490" s="83"/>
      <c r="AY490" s="85"/>
      <c r="AZ490" s="85"/>
      <c r="BA490" s="72"/>
      <c r="BC490" s="83"/>
      <c r="BD490" s="83"/>
      <c r="BE490" s="83"/>
      <c r="BF490" s="83"/>
      <c r="BH490" s="83"/>
      <c r="BI490" s="83"/>
      <c r="BJ490" s="83"/>
      <c r="BK490" s="83"/>
      <c r="BL490" s="83"/>
    </row>
    <row r="491" spans="1:13" ht="15" customHeight="1">
      <c r="A491" s="86"/>
      <c r="C491" s="87" t="s">
        <v>201</v>
      </c>
      <c r="I491" s="87" t="s">
        <v>812</v>
      </c>
      <c r="K491" s="88">
        <v>24.000000000000004</v>
      </c>
      <c r="M491" s="89"/>
    </row>
    <row r="492" spans="1:13" ht="15" customHeight="1">
      <c r="A492" s="86"/>
      <c r="C492" s="87" t="s">
        <v>50</v>
      </c>
      <c r="I492" s="87" t="s">
        <v>813</v>
      </c>
      <c r="K492" s="88">
        <v>11.000000000000002</v>
      </c>
      <c r="M492" s="89"/>
    </row>
    <row r="493" spans="1:64" ht="15" customHeight="1">
      <c r="A493" s="65" t="s">
        <v>804</v>
      </c>
      <c r="B493" s="66" t="s">
        <v>815</v>
      </c>
      <c r="C493" s="150" t="s">
        <v>816</v>
      </c>
      <c r="D493" s="150"/>
      <c r="E493" s="150"/>
      <c r="F493" s="150"/>
      <c r="G493" s="150"/>
      <c r="H493" s="150"/>
      <c r="I493" s="150"/>
      <c r="J493" s="66" t="s">
        <v>191</v>
      </c>
      <c r="K493" s="83">
        <v>425</v>
      </c>
      <c r="L493" s="108"/>
      <c r="M493" s="84">
        <f>K493*L493</f>
        <v>0</v>
      </c>
      <c r="Z493" s="83">
        <f>IF(AQ493="5",BJ493,0)</f>
        <v>0</v>
      </c>
      <c r="AB493" s="83">
        <f>IF(AQ493="1",BH493,0)</f>
        <v>0</v>
      </c>
      <c r="AC493" s="83">
        <f>IF(AQ493="1",BI493,0)</f>
        <v>0</v>
      </c>
      <c r="AD493" s="83">
        <f>IF(AQ493="7",BH493,0)</f>
        <v>0</v>
      </c>
      <c r="AE493" s="83">
        <f>IF(AQ493="7",BI493,0)</f>
        <v>0</v>
      </c>
      <c r="AF493" s="83">
        <f>IF(AQ493="2",BH493,0)</f>
        <v>0</v>
      </c>
      <c r="AG493" s="83">
        <f>IF(AQ493="2",BI493,0)</f>
        <v>0</v>
      </c>
      <c r="AH493" s="83">
        <f>IF(AQ493="0",BJ493,0)</f>
        <v>0</v>
      </c>
      <c r="AI493" s="72" t="s">
        <v>49</v>
      </c>
      <c r="AJ493" s="83">
        <f>IF(AN493=0,M493,0)</f>
        <v>0</v>
      </c>
      <c r="AK493" s="83">
        <f>IF(AN493=15,M493,0)</f>
        <v>0</v>
      </c>
      <c r="AL493" s="83">
        <f>IF(AN493=21,M493,0)</f>
        <v>0</v>
      </c>
      <c r="AN493" s="83">
        <v>21</v>
      </c>
      <c r="AO493" s="83">
        <f>L493*0.516189190058198</f>
        <v>0</v>
      </c>
      <c r="AP493" s="83">
        <f>L493*(1-0.516189190058198)</f>
        <v>0</v>
      </c>
      <c r="AQ493" s="85" t="s">
        <v>52</v>
      </c>
      <c r="AV493" s="83">
        <f>AW493+AX493</f>
        <v>0</v>
      </c>
      <c r="AW493" s="83">
        <f>K493*AO493</f>
        <v>0</v>
      </c>
      <c r="AX493" s="83">
        <f>K493*AP493</f>
        <v>0</v>
      </c>
      <c r="AY493" s="85" t="s">
        <v>780</v>
      </c>
      <c r="AZ493" s="85" t="s">
        <v>781</v>
      </c>
      <c r="BA493" s="72" t="s">
        <v>58</v>
      </c>
      <c r="BC493" s="83">
        <f>AW493+AX493</f>
        <v>0</v>
      </c>
      <c r="BD493" s="83">
        <f>L493/(100-BE493)*100</f>
        <v>0</v>
      </c>
      <c r="BE493" s="83">
        <v>0</v>
      </c>
      <c r="BF493" s="83">
        <f>492</f>
        <v>492</v>
      </c>
      <c r="BH493" s="83">
        <f>K493*AO493</f>
        <v>0</v>
      </c>
      <c r="BI493" s="83">
        <f>K493*AP493</f>
        <v>0</v>
      </c>
      <c r="BJ493" s="83">
        <f>K493*L493</f>
        <v>0</v>
      </c>
      <c r="BK493" s="83"/>
      <c r="BL493" s="83">
        <v>91</v>
      </c>
    </row>
    <row r="494" spans="1:13" ht="15" customHeight="1">
      <c r="A494" s="86"/>
      <c r="C494" s="87" t="s">
        <v>271</v>
      </c>
      <c r="I494" s="87" t="s">
        <v>817</v>
      </c>
      <c r="K494" s="88">
        <v>35</v>
      </c>
      <c r="M494" s="89"/>
    </row>
    <row r="495" spans="1:13" ht="15" customHeight="1">
      <c r="A495" s="86"/>
      <c r="C495" s="87" t="s">
        <v>818</v>
      </c>
      <c r="I495" s="87" t="s">
        <v>819</v>
      </c>
      <c r="K495" s="88">
        <v>390.00000000000006</v>
      </c>
      <c r="M495" s="89"/>
    </row>
    <row r="496" spans="1:13" ht="13.5" customHeight="1">
      <c r="A496" s="86"/>
      <c r="B496" s="90" t="s">
        <v>60</v>
      </c>
      <c r="C496" s="161" t="s">
        <v>803</v>
      </c>
      <c r="D496" s="162"/>
      <c r="E496" s="162"/>
      <c r="F496" s="162"/>
      <c r="G496" s="162"/>
      <c r="H496" s="162"/>
      <c r="I496" s="162"/>
      <c r="J496" s="162"/>
      <c r="K496" s="162"/>
      <c r="L496" s="162"/>
      <c r="M496" s="163"/>
    </row>
    <row r="497" spans="1:64" ht="15" customHeight="1">
      <c r="A497" s="65" t="s">
        <v>810</v>
      </c>
      <c r="B497" s="66" t="s">
        <v>821</v>
      </c>
      <c r="C497" s="150" t="s">
        <v>822</v>
      </c>
      <c r="D497" s="150"/>
      <c r="E497" s="150"/>
      <c r="F497" s="150"/>
      <c r="G497" s="150"/>
      <c r="H497" s="150"/>
      <c r="I497" s="150"/>
      <c r="J497" s="66" t="s">
        <v>191</v>
      </c>
      <c r="K497" s="83">
        <v>425.0001</v>
      </c>
      <c r="L497" s="108"/>
      <c r="M497" s="84">
        <f>K497*L497</f>
        <v>0</v>
      </c>
      <c r="Z497" s="83">
        <f>IF(AQ497="5",BJ497,0)</f>
        <v>0</v>
      </c>
      <c r="AB497" s="83">
        <f>IF(AQ497="1",BH497,0)</f>
        <v>0</v>
      </c>
      <c r="AC497" s="83">
        <f>IF(AQ497="1",BI497,0)</f>
        <v>0</v>
      </c>
      <c r="AD497" s="83">
        <f>IF(AQ497="7",BH497,0)</f>
        <v>0</v>
      </c>
      <c r="AE497" s="83">
        <f>IF(AQ497="7",BI497,0)</f>
        <v>0</v>
      </c>
      <c r="AF497" s="83">
        <f>IF(AQ497="2",BH497,0)</f>
        <v>0</v>
      </c>
      <c r="AG497" s="83">
        <f>IF(AQ497="2",BI497,0)</f>
        <v>0</v>
      </c>
      <c r="AH497" s="83">
        <f>IF(AQ497="0",BJ497,0)</f>
        <v>0</v>
      </c>
      <c r="AI497" s="72" t="s">
        <v>49</v>
      </c>
      <c r="AJ497" s="83">
        <f>IF(AN497=0,M497,0)</f>
        <v>0</v>
      </c>
      <c r="AK497" s="83">
        <f>IF(AN497=15,M497,0)</f>
        <v>0</v>
      </c>
      <c r="AL497" s="83">
        <f>IF(AN497=21,M497,0)</f>
        <v>0</v>
      </c>
      <c r="AN497" s="83">
        <v>21</v>
      </c>
      <c r="AO497" s="83">
        <f>L497*1</f>
        <v>0</v>
      </c>
      <c r="AP497" s="83">
        <f>L497*(1-1)</f>
        <v>0</v>
      </c>
      <c r="AQ497" s="85" t="s">
        <v>52</v>
      </c>
      <c r="AV497" s="83">
        <f>AW497+AX497</f>
        <v>0</v>
      </c>
      <c r="AW497" s="83">
        <f>K497*AO497</f>
        <v>0</v>
      </c>
      <c r="AX497" s="83">
        <f>K497*AP497</f>
        <v>0</v>
      </c>
      <c r="AY497" s="85" t="s">
        <v>780</v>
      </c>
      <c r="AZ497" s="85" t="s">
        <v>781</v>
      </c>
      <c r="BA497" s="72" t="s">
        <v>58</v>
      </c>
      <c r="BC497" s="83">
        <f>AW497+AX497</f>
        <v>0</v>
      </c>
      <c r="BD497" s="83">
        <f>L497/(100-BE497)*100</f>
        <v>0</v>
      </c>
      <c r="BE497" s="83">
        <v>0</v>
      </c>
      <c r="BF497" s="83">
        <f>496</f>
        <v>496</v>
      </c>
      <c r="BH497" s="83">
        <f>K497*AO497</f>
        <v>0</v>
      </c>
      <c r="BI497" s="83">
        <f>K497*AP497</f>
        <v>0</v>
      </c>
      <c r="BJ497" s="83">
        <f>K497*L497</f>
        <v>0</v>
      </c>
      <c r="BK497" s="83"/>
      <c r="BL497" s="83">
        <v>91</v>
      </c>
    </row>
    <row r="498" spans="1:13" ht="15" customHeight="1">
      <c r="A498" s="86"/>
      <c r="C498" s="87" t="s">
        <v>271</v>
      </c>
      <c r="I498" s="87" t="s">
        <v>49</v>
      </c>
      <c r="K498" s="88">
        <v>35</v>
      </c>
      <c r="M498" s="89"/>
    </row>
    <row r="499" spans="1:64" ht="15" customHeight="1">
      <c r="A499" s="65" t="s">
        <v>814</v>
      </c>
      <c r="B499" s="66" t="s">
        <v>824</v>
      </c>
      <c r="C499" s="150" t="s">
        <v>825</v>
      </c>
      <c r="D499" s="150"/>
      <c r="E499" s="150"/>
      <c r="F499" s="150"/>
      <c r="G499" s="150"/>
      <c r="H499" s="150"/>
      <c r="I499" s="150"/>
      <c r="J499" s="66" t="s">
        <v>191</v>
      </c>
      <c r="K499" s="83">
        <v>109.484</v>
      </c>
      <c r="L499" s="108"/>
      <c r="M499" s="84">
        <f>K499*L499</f>
        <v>0</v>
      </c>
      <c r="Z499" s="83">
        <f>IF(AQ499="5",BJ499,0)</f>
        <v>0</v>
      </c>
      <c r="AB499" s="83">
        <f>IF(AQ499="1",BH499,0)</f>
        <v>0</v>
      </c>
      <c r="AC499" s="83">
        <f>IF(AQ499="1",BI499,0)</f>
        <v>0</v>
      </c>
      <c r="AD499" s="83">
        <f>IF(AQ499="7",BH499,0)</f>
        <v>0</v>
      </c>
      <c r="AE499" s="83">
        <f>IF(AQ499="7",BI499,0)</f>
        <v>0</v>
      </c>
      <c r="AF499" s="83">
        <f>IF(AQ499="2",BH499,0)</f>
        <v>0</v>
      </c>
      <c r="AG499" s="83">
        <f>IF(AQ499="2",BI499,0)</f>
        <v>0</v>
      </c>
      <c r="AH499" s="83">
        <f>IF(AQ499="0",BJ499,0)</f>
        <v>0</v>
      </c>
      <c r="AI499" s="72" t="s">
        <v>49</v>
      </c>
      <c r="AJ499" s="83">
        <f>IF(AN499=0,M499,0)</f>
        <v>0</v>
      </c>
      <c r="AK499" s="83">
        <f>IF(AN499=15,M499,0)</f>
        <v>0</v>
      </c>
      <c r="AL499" s="83">
        <f>IF(AN499=21,M499,0)</f>
        <v>0</v>
      </c>
      <c r="AN499" s="83">
        <v>21</v>
      </c>
      <c r="AO499" s="83">
        <f>L499*1</f>
        <v>0</v>
      </c>
      <c r="AP499" s="83">
        <f>L499*(1-1)</f>
        <v>0</v>
      </c>
      <c r="AQ499" s="85" t="s">
        <v>52</v>
      </c>
      <c r="AV499" s="83">
        <f>AW499+AX499</f>
        <v>0</v>
      </c>
      <c r="AW499" s="83">
        <f>K499*AO499</f>
        <v>0</v>
      </c>
      <c r="AX499" s="83">
        <f>K499*AP499</f>
        <v>0</v>
      </c>
      <c r="AY499" s="85" t="s">
        <v>780</v>
      </c>
      <c r="AZ499" s="85" t="s">
        <v>781</v>
      </c>
      <c r="BA499" s="72" t="s">
        <v>58</v>
      </c>
      <c r="BC499" s="83">
        <f>AW499+AX499</f>
        <v>0</v>
      </c>
      <c r="BD499" s="83">
        <f>L499/(100-BE499)*100</f>
        <v>0</v>
      </c>
      <c r="BE499" s="83">
        <v>0</v>
      </c>
      <c r="BF499" s="83">
        <f>498</f>
        <v>498</v>
      </c>
      <c r="BH499" s="83">
        <f>K499*AO499</f>
        <v>0</v>
      </c>
      <c r="BI499" s="83">
        <f>K499*AP499</f>
        <v>0</v>
      </c>
      <c r="BJ499" s="83">
        <f>K499*L499</f>
        <v>0</v>
      </c>
      <c r="BK499" s="83"/>
      <c r="BL499" s="83">
        <v>91</v>
      </c>
    </row>
    <row r="500" spans="1:13" ht="15" customHeight="1">
      <c r="A500" s="86"/>
      <c r="C500" s="87" t="s">
        <v>818</v>
      </c>
      <c r="I500" s="87" t="s">
        <v>49</v>
      </c>
      <c r="K500" s="88">
        <v>390.00000000000006</v>
      </c>
      <c r="M500" s="89"/>
    </row>
    <row r="501" spans="1:13" ht="15" customHeight="1">
      <c r="A501" s="86"/>
      <c r="C501" s="87" t="s">
        <v>826</v>
      </c>
      <c r="I501" s="87" t="s">
        <v>827</v>
      </c>
      <c r="K501" s="88">
        <v>-281.6</v>
      </c>
      <c r="M501" s="89"/>
    </row>
    <row r="502" spans="1:13" ht="15" customHeight="1">
      <c r="A502" s="86"/>
      <c r="C502" s="87" t="s">
        <v>828</v>
      </c>
      <c r="I502" s="87" t="s">
        <v>49</v>
      </c>
      <c r="K502" s="88">
        <v>1.084</v>
      </c>
      <c r="M502" s="89"/>
    </row>
    <row r="503" spans="1:64" ht="15" customHeight="1">
      <c r="A503" s="65" t="s">
        <v>820</v>
      </c>
      <c r="B503" s="66" t="s">
        <v>830</v>
      </c>
      <c r="C503" s="150" t="s">
        <v>831</v>
      </c>
      <c r="D503" s="150"/>
      <c r="E503" s="150"/>
      <c r="F503" s="150"/>
      <c r="G503" s="150"/>
      <c r="H503" s="150"/>
      <c r="I503" s="150"/>
      <c r="J503" s="66" t="s">
        <v>191</v>
      </c>
      <c r="K503" s="83">
        <v>8.95</v>
      </c>
      <c r="L503" s="108"/>
      <c r="M503" s="84">
        <f>K503*L503</f>
        <v>0</v>
      </c>
      <c r="Z503" s="83">
        <f>IF(AQ503="5",BJ503,0)</f>
        <v>0</v>
      </c>
      <c r="AB503" s="83">
        <f>IF(AQ503="1",BH503,0)</f>
        <v>0</v>
      </c>
      <c r="AC503" s="83">
        <f>IF(AQ503="1",BI503,0)</f>
        <v>0</v>
      </c>
      <c r="AD503" s="83">
        <f>IF(AQ503="7",BH503,0)</f>
        <v>0</v>
      </c>
      <c r="AE503" s="83">
        <f>IF(AQ503="7",BI503,0)</f>
        <v>0</v>
      </c>
      <c r="AF503" s="83">
        <f>IF(AQ503="2",BH503,0)</f>
        <v>0</v>
      </c>
      <c r="AG503" s="83">
        <f>IF(AQ503="2",BI503,0)</f>
        <v>0</v>
      </c>
      <c r="AH503" s="83">
        <f>IF(AQ503="0",BJ503,0)</f>
        <v>0</v>
      </c>
      <c r="AI503" s="72" t="s">
        <v>49</v>
      </c>
      <c r="AJ503" s="83">
        <f>IF(AN503=0,M503,0)</f>
        <v>0</v>
      </c>
      <c r="AK503" s="83">
        <f>IF(AN503=15,M503,0)</f>
        <v>0</v>
      </c>
      <c r="AL503" s="83">
        <f>IF(AN503=21,M503,0)</f>
        <v>0</v>
      </c>
      <c r="AN503" s="83">
        <v>21</v>
      </c>
      <c r="AO503" s="83">
        <f>L503*0.4947</f>
        <v>0</v>
      </c>
      <c r="AP503" s="83">
        <f>L503*(1-0.4947)</f>
        <v>0</v>
      </c>
      <c r="AQ503" s="85" t="s">
        <v>52</v>
      </c>
      <c r="AV503" s="83">
        <f>AW503+AX503</f>
        <v>0</v>
      </c>
      <c r="AW503" s="83">
        <f>K503*AO503</f>
        <v>0</v>
      </c>
      <c r="AX503" s="83">
        <f>K503*AP503</f>
        <v>0</v>
      </c>
      <c r="AY503" s="85" t="s">
        <v>780</v>
      </c>
      <c r="AZ503" s="85" t="s">
        <v>781</v>
      </c>
      <c r="BA503" s="72" t="s">
        <v>58</v>
      </c>
      <c r="BC503" s="83">
        <f>AW503+AX503</f>
        <v>0</v>
      </c>
      <c r="BD503" s="83">
        <f>L503/(100-BE503)*100</f>
        <v>0</v>
      </c>
      <c r="BE503" s="83">
        <v>0</v>
      </c>
      <c r="BF503" s="83">
        <f>502</f>
        <v>502</v>
      </c>
      <c r="BH503" s="83">
        <f>K503*AO503</f>
        <v>0</v>
      </c>
      <c r="BI503" s="83">
        <f>K503*AP503</f>
        <v>0</v>
      </c>
      <c r="BJ503" s="83">
        <f>K503*L503</f>
        <v>0</v>
      </c>
      <c r="BK503" s="83"/>
      <c r="BL503" s="83">
        <v>91</v>
      </c>
    </row>
    <row r="504" spans="1:13" ht="15" customHeight="1">
      <c r="A504" s="86"/>
      <c r="C504" s="87" t="s">
        <v>68</v>
      </c>
      <c r="I504" s="87" t="s">
        <v>832</v>
      </c>
      <c r="K504" s="88">
        <v>4</v>
      </c>
      <c r="M504" s="89"/>
    </row>
    <row r="505" spans="1:13" ht="15" customHeight="1">
      <c r="A505" s="86"/>
      <c r="C505" s="87" t="s">
        <v>833</v>
      </c>
      <c r="I505" s="87" t="s">
        <v>378</v>
      </c>
      <c r="K505" s="88">
        <v>3.6300000000000003</v>
      </c>
      <c r="M505" s="89"/>
    </row>
    <row r="506" spans="1:13" ht="15" customHeight="1">
      <c r="A506" s="86"/>
      <c r="C506" s="87" t="s">
        <v>834</v>
      </c>
      <c r="I506" s="87" t="s">
        <v>405</v>
      </c>
      <c r="K506" s="88">
        <v>1.32</v>
      </c>
      <c r="M506" s="89"/>
    </row>
    <row r="507" spans="1:64" ht="15" customHeight="1">
      <c r="A507" s="65" t="s">
        <v>823</v>
      </c>
      <c r="B507" s="66" t="s">
        <v>836</v>
      </c>
      <c r="C507" s="150" t="s">
        <v>837</v>
      </c>
      <c r="D507" s="150"/>
      <c r="E507" s="150"/>
      <c r="F507" s="150"/>
      <c r="G507" s="150"/>
      <c r="H507" s="150"/>
      <c r="I507" s="150"/>
      <c r="J507" s="66" t="s">
        <v>191</v>
      </c>
      <c r="K507" s="83">
        <v>14</v>
      </c>
      <c r="L507" s="108"/>
      <c r="M507" s="84">
        <f>K507*L507</f>
        <v>0</v>
      </c>
      <c r="Z507" s="83">
        <f>IF(AQ507="5",BJ507,0)</f>
        <v>0</v>
      </c>
      <c r="AB507" s="83">
        <f>IF(AQ507="1",BH507,0)</f>
        <v>0</v>
      </c>
      <c r="AC507" s="83">
        <f>IF(AQ507="1",BI507,0)</f>
        <v>0</v>
      </c>
      <c r="AD507" s="83">
        <f>IF(AQ507="7",BH507,0)</f>
        <v>0</v>
      </c>
      <c r="AE507" s="83">
        <f>IF(AQ507="7",BI507,0)</f>
        <v>0</v>
      </c>
      <c r="AF507" s="83">
        <f>IF(AQ507="2",BH507,0)</f>
        <v>0</v>
      </c>
      <c r="AG507" s="83">
        <f>IF(AQ507="2",BI507,0)</f>
        <v>0</v>
      </c>
      <c r="AH507" s="83">
        <f>IF(AQ507="0",BJ507,0)</f>
        <v>0</v>
      </c>
      <c r="AI507" s="72" t="s">
        <v>49</v>
      </c>
      <c r="AJ507" s="83">
        <f>IF(AN507=0,M507,0)</f>
        <v>0</v>
      </c>
      <c r="AK507" s="83">
        <f>IF(AN507=15,M507,0)</f>
        <v>0</v>
      </c>
      <c r="AL507" s="83">
        <f>IF(AN507=21,M507,0)</f>
        <v>0</v>
      </c>
      <c r="AN507" s="83">
        <v>21</v>
      </c>
      <c r="AO507" s="83">
        <f>L507*1</f>
        <v>0</v>
      </c>
      <c r="AP507" s="83">
        <f>L507*(1-1)</f>
        <v>0</v>
      </c>
      <c r="AQ507" s="85" t="s">
        <v>52</v>
      </c>
      <c r="AV507" s="83">
        <f>AW507+AX507</f>
        <v>0</v>
      </c>
      <c r="AW507" s="83">
        <f>K507*AO507</f>
        <v>0</v>
      </c>
      <c r="AX507" s="83">
        <f>K507*AP507</f>
        <v>0</v>
      </c>
      <c r="AY507" s="85" t="s">
        <v>780</v>
      </c>
      <c r="AZ507" s="85" t="s">
        <v>781</v>
      </c>
      <c r="BA507" s="72" t="s">
        <v>58</v>
      </c>
      <c r="BC507" s="83">
        <f>AW507+AX507</f>
        <v>0</v>
      </c>
      <c r="BD507" s="83">
        <f>L507/(100-BE507)*100</f>
        <v>0</v>
      </c>
      <c r="BE507" s="83">
        <v>0</v>
      </c>
      <c r="BF507" s="83">
        <f>506</f>
        <v>506</v>
      </c>
      <c r="BH507" s="83">
        <f>K507*AO507</f>
        <v>0</v>
      </c>
      <c r="BI507" s="83">
        <f>K507*AP507</f>
        <v>0</v>
      </c>
      <c r="BJ507" s="83">
        <f>K507*L507</f>
        <v>0</v>
      </c>
      <c r="BK507" s="83"/>
      <c r="BL507" s="83">
        <v>91</v>
      </c>
    </row>
    <row r="508" spans="1:13" ht="15" customHeight="1">
      <c r="A508" s="86"/>
      <c r="C508" s="87" t="s">
        <v>142</v>
      </c>
      <c r="I508" s="87" t="s">
        <v>405</v>
      </c>
      <c r="K508" s="88">
        <v>14.000000000000002</v>
      </c>
      <c r="M508" s="89"/>
    </row>
    <row r="509" spans="1:64" ht="15" customHeight="1">
      <c r="A509" s="65" t="s">
        <v>829</v>
      </c>
      <c r="B509" s="66" t="s">
        <v>839</v>
      </c>
      <c r="C509" s="150" t="s">
        <v>840</v>
      </c>
      <c r="D509" s="150"/>
      <c r="E509" s="150"/>
      <c r="F509" s="150"/>
      <c r="G509" s="150"/>
      <c r="H509" s="150"/>
      <c r="I509" s="150"/>
      <c r="J509" s="66" t="s">
        <v>191</v>
      </c>
      <c r="K509" s="83">
        <v>24.04</v>
      </c>
      <c r="L509" s="108"/>
      <c r="M509" s="84">
        <f>K509*L509</f>
        <v>0</v>
      </c>
      <c r="Z509" s="83">
        <f>IF(AQ509="5",BJ509,0)</f>
        <v>0</v>
      </c>
      <c r="AB509" s="83">
        <f>IF(AQ509="1",BH509,0)</f>
        <v>0</v>
      </c>
      <c r="AC509" s="83">
        <f>IF(AQ509="1",BI509,0)</f>
        <v>0</v>
      </c>
      <c r="AD509" s="83">
        <f>IF(AQ509="7",BH509,0)</f>
        <v>0</v>
      </c>
      <c r="AE509" s="83">
        <f>IF(AQ509="7",BI509,0)</f>
        <v>0</v>
      </c>
      <c r="AF509" s="83">
        <f>IF(AQ509="2",BH509,0)</f>
        <v>0</v>
      </c>
      <c r="AG509" s="83">
        <f>IF(AQ509="2",BI509,0)</f>
        <v>0</v>
      </c>
      <c r="AH509" s="83">
        <f>IF(AQ509="0",BJ509,0)</f>
        <v>0</v>
      </c>
      <c r="AI509" s="72" t="s">
        <v>49</v>
      </c>
      <c r="AJ509" s="83">
        <f>IF(AN509=0,M509,0)</f>
        <v>0</v>
      </c>
      <c r="AK509" s="83">
        <f>IF(AN509=15,M509,0)</f>
        <v>0</v>
      </c>
      <c r="AL509" s="83">
        <f>IF(AN509=21,M509,0)</f>
        <v>0</v>
      </c>
      <c r="AN509" s="83">
        <v>21</v>
      </c>
      <c r="AO509" s="83">
        <f>L509*0.4947</f>
        <v>0</v>
      </c>
      <c r="AP509" s="83">
        <f>L509*(1-0.4947)</f>
        <v>0</v>
      </c>
      <c r="AQ509" s="85" t="s">
        <v>52</v>
      </c>
      <c r="AV509" s="83">
        <f>AW509+AX509</f>
        <v>0</v>
      </c>
      <c r="AW509" s="83">
        <f>K509*AO509</f>
        <v>0</v>
      </c>
      <c r="AX509" s="83">
        <f>K509*AP509</f>
        <v>0</v>
      </c>
      <c r="AY509" s="85" t="s">
        <v>780</v>
      </c>
      <c r="AZ509" s="85" t="s">
        <v>781</v>
      </c>
      <c r="BA509" s="72" t="s">
        <v>58</v>
      </c>
      <c r="BC509" s="83">
        <f>AW509+AX509</f>
        <v>0</v>
      </c>
      <c r="BD509" s="83">
        <f>L509/(100-BE509)*100</f>
        <v>0</v>
      </c>
      <c r="BE509" s="83">
        <v>0</v>
      </c>
      <c r="BF509" s="83">
        <f>508</f>
        <v>508</v>
      </c>
      <c r="BH509" s="83">
        <f>K509*AO509</f>
        <v>0</v>
      </c>
      <c r="BI509" s="83">
        <f>K509*AP509</f>
        <v>0</v>
      </c>
      <c r="BJ509" s="83">
        <f>K509*L509</f>
        <v>0</v>
      </c>
      <c r="BK509" s="83"/>
      <c r="BL509" s="83">
        <v>91</v>
      </c>
    </row>
    <row r="510" spans="1:13" ht="15" customHeight="1">
      <c r="A510" s="86"/>
      <c r="C510" s="87" t="s">
        <v>841</v>
      </c>
      <c r="I510" s="87" t="s">
        <v>375</v>
      </c>
      <c r="K510" s="88">
        <v>7.2</v>
      </c>
      <c r="M510" s="89"/>
    </row>
    <row r="511" spans="1:13" ht="15" customHeight="1">
      <c r="A511" s="86"/>
      <c r="C511" s="87" t="s">
        <v>842</v>
      </c>
      <c r="I511" s="87" t="s">
        <v>378</v>
      </c>
      <c r="K511" s="88">
        <v>4.640000000000001</v>
      </c>
      <c r="M511" s="89"/>
    </row>
    <row r="512" spans="1:13" ht="15" customHeight="1">
      <c r="A512" s="86"/>
      <c r="C512" s="87" t="s">
        <v>843</v>
      </c>
      <c r="I512" s="87" t="s">
        <v>405</v>
      </c>
      <c r="K512" s="88">
        <v>12.200000000000001</v>
      </c>
      <c r="M512" s="89"/>
    </row>
    <row r="513" spans="1:64" ht="15" customHeight="1">
      <c r="A513" s="65" t="s">
        <v>835</v>
      </c>
      <c r="B513" s="66" t="s">
        <v>845</v>
      </c>
      <c r="C513" s="150" t="s">
        <v>846</v>
      </c>
      <c r="D513" s="150"/>
      <c r="E513" s="150"/>
      <c r="F513" s="150"/>
      <c r="G513" s="150"/>
      <c r="H513" s="150"/>
      <c r="I513" s="150"/>
      <c r="J513" s="66" t="s">
        <v>191</v>
      </c>
      <c r="K513" s="83">
        <v>15.5</v>
      </c>
      <c r="L513" s="108"/>
      <c r="M513" s="84">
        <f>K513*L513</f>
        <v>0</v>
      </c>
      <c r="Z513" s="83">
        <f>IF(AQ513="5",BJ513,0)</f>
        <v>0</v>
      </c>
      <c r="AB513" s="83">
        <f>IF(AQ513="1",BH513,0)</f>
        <v>0</v>
      </c>
      <c r="AC513" s="83">
        <f>IF(AQ513="1",BI513,0)</f>
        <v>0</v>
      </c>
      <c r="AD513" s="83">
        <f>IF(AQ513="7",BH513,0)</f>
        <v>0</v>
      </c>
      <c r="AE513" s="83">
        <f>IF(AQ513="7",BI513,0)</f>
        <v>0</v>
      </c>
      <c r="AF513" s="83">
        <f>IF(AQ513="2",BH513,0)</f>
        <v>0</v>
      </c>
      <c r="AG513" s="83">
        <f>IF(AQ513="2",BI513,0)</f>
        <v>0</v>
      </c>
      <c r="AH513" s="83">
        <f>IF(AQ513="0",BJ513,0)</f>
        <v>0</v>
      </c>
      <c r="AI513" s="72" t="s">
        <v>49</v>
      </c>
      <c r="AJ513" s="83">
        <f>IF(AN513=0,M513,0)</f>
        <v>0</v>
      </c>
      <c r="AK513" s="83">
        <f>IF(AN513=15,M513,0)</f>
        <v>0</v>
      </c>
      <c r="AL513" s="83">
        <f>IF(AN513=21,M513,0)</f>
        <v>0</v>
      </c>
      <c r="AN513" s="83">
        <v>21</v>
      </c>
      <c r="AO513" s="83">
        <f>L513*1</f>
        <v>0</v>
      </c>
      <c r="AP513" s="83">
        <f>L513*(1-1)</f>
        <v>0</v>
      </c>
      <c r="AQ513" s="85" t="s">
        <v>52</v>
      </c>
      <c r="AV513" s="83">
        <f>AW513+AX513</f>
        <v>0</v>
      </c>
      <c r="AW513" s="83">
        <f>K513*AO513</f>
        <v>0</v>
      </c>
      <c r="AX513" s="83">
        <f>K513*AP513</f>
        <v>0</v>
      </c>
      <c r="AY513" s="85" t="s">
        <v>780</v>
      </c>
      <c r="AZ513" s="85" t="s">
        <v>781</v>
      </c>
      <c r="BA513" s="72" t="s">
        <v>58</v>
      </c>
      <c r="BC513" s="83">
        <f>AW513+AX513</f>
        <v>0</v>
      </c>
      <c r="BD513" s="83">
        <f>L513/(100-BE513)*100</f>
        <v>0</v>
      </c>
      <c r="BE513" s="83">
        <v>0</v>
      </c>
      <c r="BF513" s="83">
        <f>512</f>
        <v>512</v>
      </c>
      <c r="BH513" s="83">
        <f>K513*AO513</f>
        <v>0</v>
      </c>
      <c r="BI513" s="83">
        <f>K513*AP513</f>
        <v>0</v>
      </c>
      <c r="BJ513" s="83">
        <f>K513*L513</f>
        <v>0</v>
      </c>
      <c r="BK513" s="83"/>
      <c r="BL513" s="83">
        <v>91</v>
      </c>
    </row>
    <row r="514" spans="1:13" ht="15" customHeight="1">
      <c r="A514" s="86"/>
      <c r="C514" s="87" t="s">
        <v>847</v>
      </c>
      <c r="I514" s="87" t="s">
        <v>848</v>
      </c>
      <c r="K514" s="88">
        <v>8.3</v>
      </c>
      <c r="M514" s="89"/>
    </row>
    <row r="515" spans="1:13" ht="15" customHeight="1">
      <c r="A515" s="86"/>
      <c r="C515" s="87" t="s">
        <v>841</v>
      </c>
      <c r="I515" s="87" t="s">
        <v>849</v>
      </c>
      <c r="K515" s="88">
        <v>7.2</v>
      </c>
      <c r="M515" s="89"/>
    </row>
    <row r="516" spans="1:64" ht="15" customHeight="1">
      <c r="A516" s="65" t="s">
        <v>838</v>
      </c>
      <c r="B516" s="66" t="s">
        <v>851</v>
      </c>
      <c r="C516" s="150" t="s">
        <v>852</v>
      </c>
      <c r="D516" s="150"/>
      <c r="E516" s="150"/>
      <c r="F516" s="150"/>
      <c r="G516" s="150"/>
      <c r="H516" s="150"/>
      <c r="I516" s="150"/>
      <c r="J516" s="66" t="s">
        <v>55</v>
      </c>
      <c r="K516" s="83">
        <v>27</v>
      </c>
      <c r="L516" s="108"/>
      <c r="M516" s="84">
        <f>K516*L516</f>
        <v>0</v>
      </c>
      <c r="Z516" s="83">
        <f>IF(AQ516="5",BJ516,0)</f>
        <v>0</v>
      </c>
      <c r="AB516" s="83">
        <f>IF(AQ516="1",BH516,0)</f>
        <v>0</v>
      </c>
      <c r="AC516" s="83">
        <f>IF(AQ516="1",BI516,0)</f>
        <v>0</v>
      </c>
      <c r="AD516" s="83">
        <f>IF(AQ516="7",BH516,0)</f>
        <v>0</v>
      </c>
      <c r="AE516" s="83">
        <f>IF(AQ516="7",BI516,0)</f>
        <v>0</v>
      </c>
      <c r="AF516" s="83">
        <f>IF(AQ516="2",BH516,0)</f>
        <v>0</v>
      </c>
      <c r="AG516" s="83">
        <f>IF(AQ516="2",BI516,0)</f>
        <v>0</v>
      </c>
      <c r="AH516" s="83">
        <f>IF(AQ516="0",BJ516,0)</f>
        <v>0</v>
      </c>
      <c r="AI516" s="72" t="s">
        <v>49</v>
      </c>
      <c r="AJ516" s="83">
        <f>IF(AN516=0,M516,0)</f>
        <v>0</v>
      </c>
      <c r="AK516" s="83">
        <f>IF(AN516=15,M516,0)</f>
        <v>0</v>
      </c>
      <c r="AL516" s="83">
        <f>IF(AN516=21,M516,0)</f>
        <v>0</v>
      </c>
      <c r="AN516" s="83">
        <v>21</v>
      </c>
      <c r="AO516" s="83">
        <f>L516*0.84092</f>
        <v>0</v>
      </c>
      <c r="AP516" s="83">
        <f>L516*(1-0.84092)</f>
        <v>0</v>
      </c>
      <c r="AQ516" s="85" t="s">
        <v>52</v>
      </c>
      <c r="AV516" s="83">
        <f>AW516+AX516</f>
        <v>0</v>
      </c>
      <c r="AW516" s="83">
        <f>K516*AO516</f>
        <v>0</v>
      </c>
      <c r="AX516" s="83">
        <f>K516*AP516</f>
        <v>0</v>
      </c>
      <c r="AY516" s="85" t="s">
        <v>780</v>
      </c>
      <c r="AZ516" s="85" t="s">
        <v>781</v>
      </c>
      <c r="BA516" s="72" t="s">
        <v>58</v>
      </c>
      <c r="BC516" s="83">
        <f>AW516+AX516</f>
        <v>0</v>
      </c>
      <c r="BD516" s="83">
        <f>L516/(100-BE516)*100</f>
        <v>0</v>
      </c>
      <c r="BE516" s="83">
        <v>0</v>
      </c>
      <c r="BF516" s="83">
        <f>515</f>
        <v>515</v>
      </c>
      <c r="BH516" s="83">
        <f>K516*AO516</f>
        <v>0</v>
      </c>
      <c r="BI516" s="83">
        <f>K516*AP516</f>
        <v>0</v>
      </c>
      <c r="BJ516" s="83">
        <f>K516*L516</f>
        <v>0</v>
      </c>
      <c r="BK516" s="83"/>
      <c r="BL516" s="83">
        <v>91</v>
      </c>
    </row>
    <row r="517" spans="1:13" ht="15" customHeight="1">
      <c r="A517" s="86"/>
      <c r="C517" s="87" t="s">
        <v>853</v>
      </c>
      <c r="I517" s="87" t="s">
        <v>49</v>
      </c>
      <c r="K517" s="88">
        <v>27.000000000000004</v>
      </c>
      <c r="M517" s="89"/>
    </row>
    <row r="518" spans="1:64" ht="15" customHeight="1">
      <c r="A518" s="65" t="s">
        <v>844</v>
      </c>
      <c r="B518" s="66" t="s">
        <v>855</v>
      </c>
      <c r="C518" s="150" t="s">
        <v>856</v>
      </c>
      <c r="D518" s="150"/>
      <c r="E518" s="150"/>
      <c r="F518" s="150"/>
      <c r="G518" s="150"/>
      <c r="H518" s="150"/>
      <c r="I518" s="150"/>
      <c r="J518" s="66" t="s">
        <v>191</v>
      </c>
      <c r="K518" s="83">
        <v>35.5</v>
      </c>
      <c r="L518" s="108"/>
      <c r="M518" s="84">
        <f>K518*L518</f>
        <v>0</v>
      </c>
      <c r="Z518" s="83">
        <f>IF(AQ518="5",BJ518,0)</f>
        <v>0</v>
      </c>
      <c r="AB518" s="83">
        <f>IF(AQ518="1",BH518,0)</f>
        <v>0</v>
      </c>
      <c r="AC518" s="83">
        <f>IF(AQ518="1",BI518,0)</f>
        <v>0</v>
      </c>
      <c r="AD518" s="83">
        <f>IF(AQ518="7",BH518,0)</f>
        <v>0</v>
      </c>
      <c r="AE518" s="83">
        <f>IF(AQ518="7",BI518,0)</f>
        <v>0</v>
      </c>
      <c r="AF518" s="83">
        <f>IF(AQ518="2",BH518,0)</f>
        <v>0</v>
      </c>
      <c r="AG518" s="83">
        <f>IF(AQ518="2",BI518,0)</f>
        <v>0</v>
      </c>
      <c r="AH518" s="83">
        <f>IF(AQ518="0",BJ518,0)</f>
        <v>0</v>
      </c>
      <c r="AI518" s="72" t="s">
        <v>49</v>
      </c>
      <c r="AJ518" s="83">
        <f>IF(AN518=0,M518,0)</f>
        <v>0</v>
      </c>
      <c r="AK518" s="83">
        <f>IF(AN518=15,M518,0)</f>
        <v>0</v>
      </c>
      <c r="AL518" s="83">
        <f>IF(AN518=21,M518,0)</f>
        <v>0</v>
      </c>
      <c r="AN518" s="83">
        <v>21</v>
      </c>
      <c r="AO518" s="83">
        <f>L518*0.3522</f>
        <v>0</v>
      </c>
      <c r="AP518" s="83">
        <f>L518*(1-0.3522)</f>
        <v>0</v>
      </c>
      <c r="AQ518" s="85" t="s">
        <v>52</v>
      </c>
      <c r="AV518" s="83">
        <f>AW518+AX518</f>
        <v>0</v>
      </c>
      <c r="AW518" s="83">
        <f>K518*AO518</f>
        <v>0</v>
      </c>
      <c r="AX518" s="83">
        <f>K518*AP518</f>
        <v>0</v>
      </c>
      <c r="AY518" s="85" t="s">
        <v>780</v>
      </c>
      <c r="AZ518" s="85" t="s">
        <v>781</v>
      </c>
      <c r="BA518" s="72" t="s">
        <v>58</v>
      </c>
      <c r="BC518" s="83">
        <f>AW518+AX518</f>
        <v>0</v>
      </c>
      <c r="BD518" s="83">
        <f>L518/(100-BE518)*100</f>
        <v>0</v>
      </c>
      <c r="BE518" s="83">
        <v>0</v>
      </c>
      <c r="BF518" s="83">
        <f>517</f>
        <v>517</v>
      </c>
      <c r="BH518" s="83">
        <f>K518*AO518</f>
        <v>0</v>
      </c>
      <c r="BI518" s="83">
        <f>K518*AP518</f>
        <v>0</v>
      </c>
      <c r="BJ518" s="83">
        <f>K518*L518</f>
        <v>0</v>
      </c>
      <c r="BK518" s="83"/>
      <c r="BL518" s="83">
        <v>91</v>
      </c>
    </row>
    <row r="519" spans="1:13" ht="15" customHeight="1">
      <c r="A519" s="86"/>
      <c r="C519" s="87" t="s">
        <v>857</v>
      </c>
      <c r="I519" s="87" t="s">
        <v>49</v>
      </c>
      <c r="K519" s="88">
        <v>35.5</v>
      </c>
      <c r="M519" s="89"/>
    </row>
    <row r="520" spans="1:64" ht="15" customHeight="1">
      <c r="A520" s="65" t="s">
        <v>850</v>
      </c>
      <c r="B520" s="66" t="s">
        <v>859</v>
      </c>
      <c r="C520" s="150" t="s">
        <v>860</v>
      </c>
      <c r="D520" s="150"/>
      <c r="E520" s="150"/>
      <c r="F520" s="150"/>
      <c r="G520" s="150"/>
      <c r="H520" s="150"/>
      <c r="I520" s="150"/>
      <c r="J520" s="66" t="s">
        <v>79</v>
      </c>
      <c r="K520" s="83">
        <v>4</v>
      </c>
      <c r="L520" s="108"/>
      <c r="M520" s="84">
        <f>K520*L520</f>
        <v>0</v>
      </c>
      <c r="Z520" s="83">
        <f>IF(AQ520="5",BJ520,0)</f>
        <v>0</v>
      </c>
      <c r="AB520" s="83">
        <f>IF(AQ520="1",BH520,0)</f>
        <v>0</v>
      </c>
      <c r="AC520" s="83">
        <f>IF(AQ520="1",BI520,0)</f>
        <v>0</v>
      </c>
      <c r="AD520" s="83">
        <f>IF(AQ520="7",BH520,0)</f>
        <v>0</v>
      </c>
      <c r="AE520" s="83">
        <f>IF(AQ520="7",BI520,0)</f>
        <v>0</v>
      </c>
      <c r="AF520" s="83">
        <f>IF(AQ520="2",BH520,0)</f>
        <v>0</v>
      </c>
      <c r="AG520" s="83">
        <f>IF(AQ520="2",BI520,0)</f>
        <v>0</v>
      </c>
      <c r="AH520" s="83">
        <f>IF(AQ520="0",BJ520,0)</f>
        <v>0</v>
      </c>
      <c r="AI520" s="72" t="s">
        <v>49</v>
      </c>
      <c r="AJ520" s="83">
        <f>IF(AN520=0,M520,0)</f>
        <v>0</v>
      </c>
      <c r="AK520" s="83">
        <f>IF(AN520=15,M520,0)</f>
        <v>0</v>
      </c>
      <c r="AL520" s="83">
        <f>IF(AN520=21,M520,0)</f>
        <v>0</v>
      </c>
      <c r="AN520" s="83">
        <v>21</v>
      </c>
      <c r="AO520" s="83">
        <f>L520*0.411752386603606</f>
        <v>0</v>
      </c>
      <c r="AP520" s="83">
        <f>L520*(1-0.411752386603606)</f>
        <v>0</v>
      </c>
      <c r="AQ520" s="85" t="s">
        <v>52</v>
      </c>
      <c r="AV520" s="83">
        <f>AW520+AX520</f>
        <v>0</v>
      </c>
      <c r="AW520" s="83">
        <f>K520*AO520</f>
        <v>0</v>
      </c>
      <c r="AX520" s="83">
        <f>K520*AP520</f>
        <v>0</v>
      </c>
      <c r="AY520" s="85" t="s">
        <v>780</v>
      </c>
      <c r="AZ520" s="85" t="s">
        <v>781</v>
      </c>
      <c r="BA520" s="72" t="s">
        <v>58</v>
      </c>
      <c r="BC520" s="83">
        <f>AW520+AX520</f>
        <v>0</v>
      </c>
      <c r="BD520" s="83">
        <f>L520/(100-BE520)*100</f>
        <v>0</v>
      </c>
      <c r="BE520" s="83">
        <v>0</v>
      </c>
      <c r="BF520" s="83">
        <f>519</f>
        <v>519</v>
      </c>
      <c r="BH520" s="83">
        <f>K520*AO520</f>
        <v>0</v>
      </c>
      <c r="BI520" s="83">
        <f>K520*AP520</f>
        <v>0</v>
      </c>
      <c r="BJ520" s="83">
        <f>K520*L520</f>
        <v>0</v>
      </c>
      <c r="BK520" s="83"/>
      <c r="BL520" s="83">
        <v>91</v>
      </c>
    </row>
    <row r="521" spans="1:13" ht="15" customHeight="1">
      <c r="A521" s="86"/>
      <c r="C521" s="87" t="s">
        <v>62</v>
      </c>
      <c r="I521" s="87" t="s">
        <v>861</v>
      </c>
      <c r="K521" s="88">
        <v>2</v>
      </c>
      <c r="M521" s="89"/>
    </row>
    <row r="522" spans="1:13" ht="15" customHeight="1">
      <c r="A522" s="86"/>
      <c r="C522" s="87" t="s">
        <v>62</v>
      </c>
      <c r="I522" s="87" t="s">
        <v>862</v>
      </c>
      <c r="K522" s="88">
        <v>2</v>
      </c>
      <c r="M522" s="89"/>
    </row>
    <row r="523" spans="1:64" ht="15" customHeight="1">
      <c r="A523" s="65" t="s">
        <v>854</v>
      </c>
      <c r="B523" s="66" t="s">
        <v>864</v>
      </c>
      <c r="C523" s="150" t="s">
        <v>865</v>
      </c>
      <c r="D523" s="150"/>
      <c r="E523" s="150"/>
      <c r="F523" s="150"/>
      <c r="G523" s="150"/>
      <c r="H523" s="150"/>
      <c r="I523" s="150"/>
      <c r="J523" s="66" t="s">
        <v>866</v>
      </c>
      <c r="K523" s="83">
        <v>2</v>
      </c>
      <c r="L523" s="108"/>
      <c r="M523" s="84">
        <f>K523*L523</f>
        <v>0</v>
      </c>
      <c r="Z523" s="83">
        <f>IF(AQ523="5",BJ523,0)</f>
        <v>0</v>
      </c>
      <c r="AB523" s="83">
        <f>IF(AQ523="1",BH523,0)</f>
        <v>0</v>
      </c>
      <c r="AC523" s="83">
        <f>IF(AQ523="1",BI523,0)</f>
        <v>0</v>
      </c>
      <c r="AD523" s="83">
        <f>IF(AQ523="7",BH523,0)</f>
        <v>0</v>
      </c>
      <c r="AE523" s="83">
        <f>IF(AQ523="7",BI523,0)</f>
        <v>0</v>
      </c>
      <c r="AF523" s="83">
        <f>IF(AQ523="2",BH523,0)</f>
        <v>0</v>
      </c>
      <c r="AG523" s="83">
        <f>IF(AQ523="2",BI523,0)</f>
        <v>0</v>
      </c>
      <c r="AH523" s="83">
        <f>IF(AQ523="0",BJ523,0)</f>
        <v>0</v>
      </c>
      <c r="AI523" s="72" t="s">
        <v>49</v>
      </c>
      <c r="AJ523" s="83">
        <f>IF(AN523=0,M523,0)</f>
        <v>0</v>
      </c>
      <c r="AK523" s="83">
        <f>IF(AN523=15,M523,0)</f>
        <v>0</v>
      </c>
      <c r="AL523" s="83">
        <f>IF(AN523=21,M523,0)</f>
        <v>0</v>
      </c>
      <c r="AN523" s="83">
        <v>21</v>
      </c>
      <c r="AO523" s="83">
        <f>L523*1</f>
        <v>0</v>
      </c>
      <c r="AP523" s="83">
        <f>L523*(1-1)</f>
        <v>0</v>
      </c>
      <c r="AQ523" s="85" t="s">
        <v>52</v>
      </c>
      <c r="AV523" s="83">
        <f>AW523+AX523</f>
        <v>0</v>
      </c>
      <c r="AW523" s="83">
        <f>K523*AO523</f>
        <v>0</v>
      </c>
      <c r="AX523" s="83">
        <f>K523*AP523</f>
        <v>0</v>
      </c>
      <c r="AY523" s="85" t="s">
        <v>780</v>
      </c>
      <c r="AZ523" s="85" t="s">
        <v>781</v>
      </c>
      <c r="BA523" s="72" t="s">
        <v>58</v>
      </c>
      <c r="BC523" s="83">
        <f>AW523+AX523</f>
        <v>0</v>
      </c>
      <c r="BD523" s="83">
        <f>L523/(100-BE523)*100</f>
        <v>0</v>
      </c>
      <c r="BE523" s="83">
        <v>0</v>
      </c>
      <c r="BF523" s="83">
        <f>522</f>
        <v>522</v>
      </c>
      <c r="BH523" s="83">
        <f>K523*AO523</f>
        <v>0</v>
      </c>
      <c r="BI523" s="83">
        <f>K523*AP523</f>
        <v>0</v>
      </c>
      <c r="BJ523" s="83">
        <f>K523*L523</f>
        <v>0</v>
      </c>
      <c r="BK523" s="83"/>
      <c r="BL523" s="83">
        <v>91</v>
      </c>
    </row>
    <row r="524" spans="1:13" ht="15" customHeight="1">
      <c r="A524" s="86"/>
      <c r="C524" s="87" t="s">
        <v>867</v>
      </c>
      <c r="I524" s="87" t="s">
        <v>49</v>
      </c>
      <c r="K524" s="88">
        <v>2</v>
      </c>
      <c r="M524" s="89"/>
    </row>
    <row r="525" spans="1:13" ht="94.5" customHeight="1">
      <c r="A525" s="86"/>
      <c r="B525" s="90" t="s">
        <v>60</v>
      </c>
      <c r="C525" s="161" t="s">
        <v>868</v>
      </c>
      <c r="D525" s="162"/>
      <c r="E525" s="162"/>
      <c r="F525" s="162"/>
      <c r="G525" s="162"/>
      <c r="H525" s="162"/>
      <c r="I525" s="162"/>
      <c r="J525" s="162"/>
      <c r="K525" s="162"/>
      <c r="L525" s="162"/>
      <c r="M525" s="163"/>
    </row>
    <row r="526" spans="1:13" ht="54" customHeight="1">
      <c r="A526" s="86"/>
      <c r="C526" s="161" t="s">
        <v>869</v>
      </c>
      <c r="D526" s="162"/>
      <c r="E526" s="162"/>
      <c r="F526" s="162"/>
      <c r="G526" s="162"/>
      <c r="H526" s="162"/>
      <c r="I526" s="162"/>
      <c r="J526" s="162"/>
      <c r="K526" s="162"/>
      <c r="L526" s="162"/>
      <c r="M526" s="163"/>
    </row>
    <row r="527" spans="1:64" ht="15" customHeight="1">
      <c r="A527" s="65" t="s">
        <v>858</v>
      </c>
      <c r="B527" s="66" t="s">
        <v>871</v>
      </c>
      <c r="C527" s="150" t="s">
        <v>872</v>
      </c>
      <c r="D527" s="150"/>
      <c r="E527" s="150"/>
      <c r="F527" s="150"/>
      <c r="G527" s="150"/>
      <c r="H527" s="150"/>
      <c r="I527" s="150"/>
      <c r="J527" s="66" t="s">
        <v>79</v>
      </c>
      <c r="K527" s="83">
        <v>4</v>
      </c>
      <c r="L527" s="108"/>
      <c r="M527" s="84">
        <f>K527*L527</f>
        <v>0</v>
      </c>
      <c r="Z527" s="83">
        <f>IF(AQ527="5",BJ527,0)</f>
        <v>0</v>
      </c>
      <c r="AB527" s="83">
        <f>IF(AQ527="1",BH527,0)</f>
        <v>0</v>
      </c>
      <c r="AC527" s="83">
        <f>IF(AQ527="1",BI527,0)</f>
        <v>0</v>
      </c>
      <c r="AD527" s="83">
        <f>IF(AQ527="7",BH527,0)</f>
        <v>0</v>
      </c>
      <c r="AE527" s="83">
        <f>IF(AQ527="7",BI527,0)</f>
        <v>0</v>
      </c>
      <c r="AF527" s="83">
        <f>IF(AQ527="2",BH527,0)</f>
        <v>0</v>
      </c>
      <c r="AG527" s="83">
        <f>IF(AQ527="2",BI527,0)</f>
        <v>0</v>
      </c>
      <c r="AH527" s="83">
        <f>IF(AQ527="0",BJ527,0)</f>
        <v>0</v>
      </c>
      <c r="AI527" s="72" t="s">
        <v>49</v>
      </c>
      <c r="AJ527" s="83">
        <f>IF(AN527=0,M527,0)</f>
        <v>0</v>
      </c>
      <c r="AK527" s="83">
        <f>IF(AN527=15,M527,0)</f>
        <v>0</v>
      </c>
      <c r="AL527" s="83">
        <f>IF(AN527=21,M527,0)</f>
        <v>0</v>
      </c>
      <c r="AN527" s="83">
        <v>21</v>
      </c>
      <c r="AO527" s="83">
        <f>L527*0.723684210526316</f>
        <v>0</v>
      </c>
      <c r="AP527" s="83">
        <f>L527*(1-0.723684210526316)</f>
        <v>0</v>
      </c>
      <c r="AQ527" s="85" t="s">
        <v>52</v>
      </c>
      <c r="AV527" s="83">
        <f>AW527+AX527</f>
        <v>0</v>
      </c>
      <c r="AW527" s="83">
        <f>K527*AO527</f>
        <v>0</v>
      </c>
      <c r="AX527" s="83">
        <f>K527*AP527</f>
        <v>0</v>
      </c>
      <c r="AY527" s="85" t="s">
        <v>780</v>
      </c>
      <c r="AZ527" s="85" t="s">
        <v>781</v>
      </c>
      <c r="BA527" s="72" t="s">
        <v>58</v>
      </c>
      <c r="BC527" s="83">
        <f>AW527+AX527</f>
        <v>0</v>
      </c>
      <c r="BD527" s="83">
        <f>L527/(100-BE527)*100</f>
        <v>0</v>
      </c>
      <c r="BE527" s="83">
        <v>0</v>
      </c>
      <c r="BF527" s="83">
        <f>526</f>
        <v>526</v>
      </c>
      <c r="BH527" s="83">
        <f>K527*AO527</f>
        <v>0</v>
      </c>
      <c r="BI527" s="83">
        <f>K527*AP527</f>
        <v>0</v>
      </c>
      <c r="BJ527" s="83">
        <f>K527*L527</f>
        <v>0</v>
      </c>
      <c r="BK527" s="83"/>
      <c r="BL527" s="83">
        <v>91</v>
      </c>
    </row>
    <row r="528" spans="1:13" ht="15" customHeight="1">
      <c r="A528" s="86"/>
      <c r="C528" s="87" t="s">
        <v>68</v>
      </c>
      <c r="I528" s="87" t="s">
        <v>49</v>
      </c>
      <c r="K528" s="88">
        <v>4</v>
      </c>
      <c r="M528" s="89"/>
    </row>
    <row r="529" spans="1:64" ht="15" customHeight="1">
      <c r="A529" s="65" t="s">
        <v>863</v>
      </c>
      <c r="B529" s="66" t="s">
        <v>874</v>
      </c>
      <c r="C529" s="150" t="s">
        <v>875</v>
      </c>
      <c r="D529" s="150"/>
      <c r="E529" s="150"/>
      <c r="F529" s="150"/>
      <c r="G529" s="150"/>
      <c r="H529" s="150"/>
      <c r="I529" s="150"/>
      <c r="J529" s="66" t="s">
        <v>191</v>
      </c>
      <c r="K529" s="83">
        <v>75</v>
      </c>
      <c r="L529" s="108"/>
      <c r="M529" s="84">
        <f>K529*L529</f>
        <v>0</v>
      </c>
      <c r="Z529" s="83">
        <f>IF(AQ529="5",BJ529,0)</f>
        <v>0</v>
      </c>
      <c r="AB529" s="83">
        <f>IF(AQ529="1",BH529,0)</f>
        <v>0</v>
      </c>
      <c r="AC529" s="83">
        <f>IF(AQ529="1",BI529,0)</f>
        <v>0</v>
      </c>
      <c r="AD529" s="83">
        <f>IF(AQ529="7",BH529,0)</f>
        <v>0</v>
      </c>
      <c r="AE529" s="83">
        <f>IF(AQ529="7",BI529,0)</f>
        <v>0</v>
      </c>
      <c r="AF529" s="83">
        <f>IF(AQ529="2",BH529,0)</f>
        <v>0</v>
      </c>
      <c r="AG529" s="83">
        <f>IF(AQ529="2",BI529,0)</f>
        <v>0</v>
      </c>
      <c r="AH529" s="83">
        <f>IF(AQ529="0",BJ529,0)</f>
        <v>0</v>
      </c>
      <c r="AI529" s="72" t="s">
        <v>49</v>
      </c>
      <c r="AJ529" s="83">
        <f>IF(AN529=0,M529,0)</f>
        <v>0</v>
      </c>
      <c r="AK529" s="83">
        <f>IF(AN529=15,M529,0)</f>
        <v>0</v>
      </c>
      <c r="AL529" s="83">
        <f>IF(AN529=21,M529,0)</f>
        <v>0</v>
      </c>
      <c r="AN529" s="83">
        <v>21</v>
      </c>
      <c r="AO529" s="83">
        <f>L529*0.713380839271576</f>
        <v>0</v>
      </c>
      <c r="AP529" s="83">
        <f>L529*(1-0.713380839271576)</f>
        <v>0</v>
      </c>
      <c r="AQ529" s="85" t="s">
        <v>52</v>
      </c>
      <c r="AV529" s="83">
        <f>AW529+AX529</f>
        <v>0</v>
      </c>
      <c r="AW529" s="83">
        <f>K529*AO529</f>
        <v>0</v>
      </c>
      <c r="AX529" s="83">
        <f>K529*AP529</f>
        <v>0</v>
      </c>
      <c r="AY529" s="85" t="s">
        <v>780</v>
      </c>
      <c r="AZ529" s="85" t="s">
        <v>781</v>
      </c>
      <c r="BA529" s="72" t="s">
        <v>58</v>
      </c>
      <c r="BC529" s="83">
        <f>AW529+AX529</f>
        <v>0</v>
      </c>
      <c r="BD529" s="83">
        <f>L529/(100-BE529)*100</f>
        <v>0</v>
      </c>
      <c r="BE529" s="83">
        <v>0</v>
      </c>
      <c r="BF529" s="83">
        <f>528</f>
        <v>528</v>
      </c>
      <c r="BH529" s="83">
        <f>K529*AO529</f>
        <v>0</v>
      </c>
      <c r="BI529" s="83">
        <f>K529*AP529</f>
        <v>0</v>
      </c>
      <c r="BJ529" s="83">
        <f>K529*L529</f>
        <v>0</v>
      </c>
      <c r="BK529" s="83"/>
      <c r="BL529" s="83">
        <v>91</v>
      </c>
    </row>
    <row r="530" spans="1:13" ht="13.5" customHeight="1">
      <c r="A530" s="86"/>
      <c r="B530" s="90" t="s">
        <v>273</v>
      </c>
      <c r="C530" s="161" t="s">
        <v>876</v>
      </c>
      <c r="D530" s="162"/>
      <c r="E530" s="162"/>
      <c r="F530" s="162"/>
      <c r="G530" s="162"/>
      <c r="H530" s="162"/>
      <c r="I530" s="162"/>
      <c r="J530" s="162"/>
      <c r="K530" s="162"/>
      <c r="L530" s="162"/>
      <c r="M530" s="163"/>
    </row>
    <row r="531" spans="1:13" ht="15" customHeight="1">
      <c r="A531" s="86"/>
      <c r="C531" s="87" t="s">
        <v>468</v>
      </c>
      <c r="I531" s="87" t="s">
        <v>877</v>
      </c>
      <c r="K531" s="88">
        <v>75</v>
      </c>
      <c r="M531" s="89"/>
    </row>
    <row r="532" spans="1:64" ht="15" customHeight="1">
      <c r="A532" s="65" t="s">
        <v>870</v>
      </c>
      <c r="B532" s="66" t="s">
        <v>879</v>
      </c>
      <c r="C532" s="150" t="s">
        <v>880</v>
      </c>
      <c r="D532" s="150"/>
      <c r="E532" s="150"/>
      <c r="F532" s="150"/>
      <c r="G532" s="150"/>
      <c r="H532" s="150"/>
      <c r="I532" s="150"/>
      <c r="J532" s="66" t="s">
        <v>191</v>
      </c>
      <c r="K532" s="83">
        <v>75</v>
      </c>
      <c r="L532" s="108"/>
      <c r="M532" s="84">
        <f>K532*L532</f>
        <v>0</v>
      </c>
      <c r="Z532" s="83">
        <f>IF(AQ532="5",BJ532,0)</f>
        <v>0</v>
      </c>
      <c r="AB532" s="83">
        <f>IF(AQ532="1",BH532,0)</f>
        <v>0</v>
      </c>
      <c r="AC532" s="83">
        <f>IF(AQ532="1",BI532,0)</f>
        <v>0</v>
      </c>
      <c r="AD532" s="83">
        <f>IF(AQ532="7",BH532,0)</f>
        <v>0</v>
      </c>
      <c r="AE532" s="83">
        <f>IF(AQ532="7",BI532,0)</f>
        <v>0</v>
      </c>
      <c r="AF532" s="83">
        <f>IF(AQ532="2",BH532,0)</f>
        <v>0</v>
      </c>
      <c r="AG532" s="83">
        <f>IF(AQ532="2",BI532,0)</f>
        <v>0</v>
      </c>
      <c r="AH532" s="83">
        <f>IF(AQ532="0",BJ532,0)</f>
        <v>0</v>
      </c>
      <c r="AI532" s="72" t="s">
        <v>49</v>
      </c>
      <c r="AJ532" s="83">
        <f>IF(AN532=0,M532,0)</f>
        <v>0</v>
      </c>
      <c r="AK532" s="83">
        <f>IF(AN532=15,M532,0)</f>
        <v>0</v>
      </c>
      <c r="AL532" s="83">
        <f>IF(AN532=21,M532,0)</f>
        <v>0</v>
      </c>
      <c r="AN532" s="83">
        <v>21</v>
      </c>
      <c r="AO532" s="83">
        <f>L532*0.244642857142857</f>
        <v>0</v>
      </c>
      <c r="AP532" s="83">
        <f>L532*(1-0.244642857142857)</f>
        <v>0</v>
      </c>
      <c r="AQ532" s="85" t="s">
        <v>52</v>
      </c>
      <c r="AV532" s="83">
        <f>AW532+AX532</f>
        <v>0</v>
      </c>
      <c r="AW532" s="83">
        <f>K532*AO532</f>
        <v>0</v>
      </c>
      <c r="AX532" s="83">
        <f>K532*AP532</f>
        <v>0</v>
      </c>
      <c r="AY532" s="85" t="s">
        <v>780</v>
      </c>
      <c r="AZ532" s="85" t="s">
        <v>781</v>
      </c>
      <c r="BA532" s="72" t="s">
        <v>58</v>
      </c>
      <c r="BC532" s="83">
        <f>AW532+AX532</f>
        <v>0</v>
      </c>
      <c r="BD532" s="83">
        <f>L532/(100-BE532)*100</f>
        <v>0</v>
      </c>
      <c r="BE532" s="83">
        <v>0</v>
      </c>
      <c r="BF532" s="83">
        <f>531</f>
        <v>531</v>
      </c>
      <c r="BH532" s="83">
        <f>K532*AO532</f>
        <v>0</v>
      </c>
      <c r="BI532" s="83">
        <f>K532*AP532</f>
        <v>0</v>
      </c>
      <c r="BJ532" s="83">
        <f>K532*L532</f>
        <v>0</v>
      </c>
      <c r="BK532" s="83"/>
      <c r="BL532" s="83">
        <v>91</v>
      </c>
    </row>
    <row r="533" spans="1:13" ht="15" customHeight="1">
      <c r="A533" s="86"/>
      <c r="C533" s="87" t="s">
        <v>468</v>
      </c>
      <c r="I533" s="87" t="s">
        <v>49</v>
      </c>
      <c r="K533" s="88">
        <v>75</v>
      </c>
      <c r="M533" s="89"/>
    </row>
    <row r="534" spans="1:64" ht="15" customHeight="1">
      <c r="A534" s="65" t="s">
        <v>873</v>
      </c>
      <c r="B534" s="66" t="s">
        <v>882</v>
      </c>
      <c r="C534" s="150" t="s">
        <v>883</v>
      </c>
      <c r="D534" s="150"/>
      <c r="E534" s="150"/>
      <c r="F534" s="150"/>
      <c r="G534" s="150"/>
      <c r="H534" s="150"/>
      <c r="I534" s="150"/>
      <c r="J534" s="66" t="s">
        <v>55</v>
      </c>
      <c r="K534" s="83">
        <v>21</v>
      </c>
      <c r="L534" s="108"/>
      <c r="M534" s="84">
        <f>K534*L534</f>
        <v>0</v>
      </c>
      <c r="Z534" s="83">
        <f>IF(AQ534="5",BJ534,0)</f>
        <v>0</v>
      </c>
      <c r="AB534" s="83">
        <f>IF(AQ534="1",BH534,0)</f>
        <v>0</v>
      </c>
      <c r="AC534" s="83">
        <f>IF(AQ534="1",BI534,0)</f>
        <v>0</v>
      </c>
      <c r="AD534" s="83">
        <f>IF(AQ534="7",BH534,0)</f>
        <v>0</v>
      </c>
      <c r="AE534" s="83">
        <f>IF(AQ534="7",BI534,0)</f>
        <v>0</v>
      </c>
      <c r="AF534" s="83">
        <f>IF(AQ534="2",BH534,0)</f>
        <v>0</v>
      </c>
      <c r="AG534" s="83">
        <f>IF(AQ534="2",BI534,0)</f>
        <v>0</v>
      </c>
      <c r="AH534" s="83">
        <f>IF(AQ534="0",BJ534,0)</f>
        <v>0</v>
      </c>
      <c r="AI534" s="72" t="s">
        <v>49</v>
      </c>
      <c r="AJ534" s="83">
        <f>IF(AN534=0,M534,0)</f>
        <v>0</v>
      </c>
      <c r="AK534" s="83">
        <f>IF(AN534=15,M534,0)</f>
        <v>0</v>
      </c>
      <c r="AL534" s="83">
        <f>IF(AN534=21,M534,0)</f>
        <v>0</v>
      </c>
      <c r="AN534" s="83">
        <v>21</v>
      </c>
      <c r="AO534" s="83">
        <f>L534*0.646677777777778</f>
        <v>0</v>
      </c>
      <c r="AP534" s="83">
        <f>L534*(1-0.646677777777778)</f>
        <v>0</v>
      </c>
      <c r="AQ534" s="85" t="s">
        <v>52</v>
      </c>
      <c r="AV534" s="83">
        <f>AW534+AX534</f>
        <v>0</v>
      </c>
      <c r="AW534" s="83">
        <f>K534*AO534</f>
        <v>0</v>
      </c>
      <c r="AX534" s="83">
        <f>K534*AP534</f>
        <v>0</v>
      </c>
      <c r="AY534" s="85" t="s">
        <v>780</v>
      </c>
      <c r="AZ534" s="85" t="s">
        <v>781</v>
      </c>
      <c r="BA534" s="72" t="s">
        <v>58</v>
      </c>
      <c r="BC534" s="83">
        <f>AW534+AX534</f>
        <v>0</v>
      </c>
      <c r="BD534" s="83">
        <f>L534/(100-BE534)*100</f>
        <v>0</v>
      </c>
      <c r="BE534" s="83">
        <v>0</v>
      </c>
      <c r="BF534" s="83">
        <f>533</f>
        <v>533</v>
      </c>
      <c r="BH534" s="83">
        <f>K534*AO534</f>
        <v>0</v>
      </c>
      <c r="BI534" s="83">
        <f>K534*AP534</f>
        <v>0</v>
      </c>
      <c r="BJ534" s="83">
        <f>K534*L534</f>
        <v>0</v>
      </c>
      <c r="BK534" s="83"/>
      <c r="BL534" s="83">
        <v>91</v>
      </c>
    </row>
    <row r="535" spans="1:13" ht="15" customHeight="1">
      <c r="A535" s="86"/>
      <c r="C535" s="87" t="s">
        <v>156</v>
      </c>
      <c r="I535" s="87" t="s">
        <v>49</v>
      </c>
      <c r="K535" s="88">
        <v>17</v>
      </c>
      <c r="M535" s="89"/>
    </row>
    <row r="536" spans="1:13" ht="15" customHeight="1">
      <c r="A536" s="86"/>
      <c r="C536" s="87" t="s">
        <v>62</v>
      </c>
      <c r="I536" s="87" t="s">
        <v>884</v>
      </c>
      <c r="K536" s="88">
        <v>2</v>
      </c>
      <c r="M536" s="89"/>
    </row>
    <row r="537" spans="1:13" ht="15" customHeight="1">
      <c r="A537" s="86"/>
      <c r="C537" s="87" t="s">
        <v>62</v>
      </c>
      <c r="I537" s="87" t="s">
        <v>885</v>
      </c>
      <c r="K537" s="88">
        <v>2</v>
      </c>
      <c r="M537" s="89"/>
    </row>
    <row r="538" spans="1:64" ht="15" customHeight="1">
      <c r="A538" s="65" t="s">
        <v>878</v>
      </c>
      <c r="B538" s="66" t="s">
        <v>887</v>
      </c>
      <c r="C538" s="150" t="s">
        <v>888</v>
      </c>
      <c r="D538" s="150"/>
      <c r="E538" s="150"/>
      <c r="F538" s="150"/>
      <c r="G538" s="150"/>
      <c r="H538" s="150"/>
      <c r="I538" s="150"/>
      <c r="J538" s="66" t="s">
        <v>55</v>
      </c>
      <c r="K538" s="83">
        <v>7</v>
      </c>
      <c r="L538" s="108"/>
      <c r="M538" s="84">
        <f>K538*L538</f>
        <v>0</v>
      </c>
      <c r="Z538" s="83">
        <f>IF(AQ538="5",BJ538,0)</f>
        <v>0</v>
      </c>
      <c r="AB538" s="83">
        <f>IF(AQ538="1",BH538,0)</f>
        <v>0</v>
      </c>
      <c r="AC538" s="83">
        <f>IF(AQ538="1",BI538,0)</f>
        <v>0</v>
      </c>
      <c r="AD538" s="83">
        <f>IF(AQ538="7",BH538,0)</f>
        <v>0</v>
      </c>
      <c r="AE538" s="83">
        <f>IF(AQ538="7",BI538,0)</f>
        <v>0</v>
      </c>
      <c r="AF538" s="83">
        <f>IF(AQ538="2",BH538,0)</f>
        <v>0</v>
      </c>
      <c r="AG538" s="83">
        <f>IF(AQ538="2",BI538,0)</f>
        <v>0</v>
      </c>
      <c r="AH538" s="83">
        <f>IF(AQ538="0",BJ538,0)</f>
        <v>0</v>
      </c>
      <c r="AI538" s="72" t="s">
        <v>49</v>
      </c>
      <c r="AJ538" s="83">
        <f>IF(AN538=0,M538,0)</f>
        <v>0</v>
      </c>
      <c r="AK538" s="83">
        <f>IF(AN538=15,M538,0)</f>
        <v>0</v>
      </c>
      <c r="AL538" s="83">
        <f>IF(AN538=21,M538,0)</f>
        <v>0</v>
      </c>
      <c r="AN538" s="83">
        <v>21</v>
      </c>
      <c r="AO538" s="83">
        <f>L538*1</f>
        <v>0</v>
      </c>
      <c r="AP538" s="83">
        <f>L538*(1-1)</f>
        <v>0</v>
      </c>
      <c r="AQ538" s="85" t="s">
        <v>52</v>
      </c>
      <c r="AV538" s="83">
        <f>AW538+AX538</f>
        <v>0</v>
      </c>
      <c r="AW538" s="83">
        <f>K538*AO538</f>
        <v>0</v>
      </c>
      <c r="AX538" s="83">
        <f>K538*AP538</f>
        <v>0</v>
      </c>
      <c r="AY538" s="85" t="s">
        <v>780</v>
      </c>
      <c r="AZ538" s="85" t="s">
        <v>781</v>
      </c>
      <c r="BA538" s="72" t="s">
        <v>58</v>
      </c>
      <c r="BC538" s="83">
        <f>AW538+AX538</f>
        <v>0</v>
      </c>
      <c r="BD538" s="83">
        <f>L538/(100-BE538)*100</f>
        <v>0</v>
      </c>
      <c r="BE538" s="83">
        <v>0</v>
      </c>
      <c r="BF538" s="83">
        <f>537</f>
        <v>537</v>
      </c>
      <c r="BH538" s="83">
        <f>K538*AO538</f>
        <v>0</v>
      </c>
      <c r="BI538" s="83">
        <f>K538*AP538</f>
        <v>0</v>
      </c>
      <c r="BJ538" s="83">
        <f>K538*L538</f>
        <v>0</v>
      </c>
      <c r="BK538" s="83"/>
      <c r="BL538" s="83">
        <v>91</v>
      </c>
    </row>
    <row r="539" spans="1:13" ht="15" customHeight="1">
      <c r="A539" s="86"/>
      <c r="C539" s="87" t="s">
        <v>82</v>
      </c>
      <c r="I539" s="87" t="s">
        <v>49</v>
      </c>
      <c r="K539" s="88">
        <v>7.000000000000001</v>
      </c>
      <c r="M539" s="89"/>
    </row>
    <row r="540" spans="1:13" ht="54" customHeight="1">
      <c r="A540" s="86"/>
      <c r="B540" s="90" t="s">
        <v>60</v>
      </c>
      <c r="C540" s="161" t="s">
        <v>889</v>
      </c>
      <c r="D540" s="162"/>
      <c r="E540" s="162"/>
      <c r="F540" s="162"/>
      <c r="G540" s="162"/>
      <c r="H540" s="162"/>
      <c r="I540" s="162"/>
      <c r="J540" s="162"/>
      <c r="K540" s="162"/>
      <c r="L540" s="162"/>
      <c r="M540" s="163"/>
    </row>
    <row r="541" spans="1:64" ht="15" customHeight="1">
      <c r="A541" s="65" t="s">
        <v>881</v>
      </c>
      <c r="B541" s="66" t="s">
        <v>891</v>
      </c>
      <c r="C541" s="150" t="s">
        <v>892</v>
      </c>
      <c r="D541" s="150"/>
      <c r="E541" s="150"/>
      <c r="F541" s="150"/>
      <c r="G541" s="150"/>
      <c r="H541" s="150"/>
      <c r="I541" s="150"/>
      <c r="J541" s="66" t="s">
        <v>55</v>
      </c>
      <c r="K541" s="83">
        <v>3</v>
      </c>
      <c r="L541" s="108"/>
      <c r="M541" s="84">
        <f>K541*L541</f>
        <v>0</v>
      </c>
      <c r="Z541" s="83">
        <f>IF(AQ541="5",BJ541,0)</f>
        <v>0</v>
      </c>
      <c r="AB541" s="83">
        <f>IF(AQ541="1",BH541,0)</f>
        <v>0</v>
      </c>
      <c r="AC541" s="83">
        <f>IF(AQ541="1",BI541,0)</f>
        <v>0</v>
      </c>
      <c r="AD541" s="83">
        <f>IF(AQ541="7",BH541,0)</f>
        <v>0</v>
      </c>
      <c r="AE541" s="83">
        <f>IF(AQ541="7",BI541,0)</f>
        <v>0</v>
      </c>
      <c r="AF541" s="83">
        <f>IF(AQ541="2",BH541,0)</f>
        <v>0</v>
      </c>
      <c r="AG541" s="83">
        <f>IF(AQ541="2",BI541,0)</f>
        <v>0</v>
      </c>
      <c r="AH541" s="83">
        <f>IF(AQ541="0",BJ541,0)</f>
        <v>0</v>
      </c>
      <c r="AI541" s="72" t="s">
        <v>49</v>
      </c>
      <c r="AJ541" s="83">
        <f>IF(AN541=0,M541,0)</f>
        <v>0</v>
      </c>
      <c r="AK541" s="83">
        <f>IF(AN541=15,M541,0)</f>
        <v>0</v>
      </c>
      <c r="AL541" s="83">
        <f>IF(AN541=21,M541,0)</f>
        <v>0</v>
      </c>
      <c r="AN541" s="83">
        <v>21</v>
      </c>
      <c r="AO541" s="83">
        <f>L541*1</f>
        <v>0</v>
      </c>
      <c r="AP541" s="83">
        <f>L541*(1-1)</f>
        <v>0</v>
      </c>
      <c r="AQ541" s="85" t="s">
        <v>52</v>
      </c>
      <c r="AV541" s="83">
        <f>AW541+AX541</f>
        <v>0</v>
      </c>
      <c r="AW541" s="83">
        <f>K541*AO541</f>
        <v>0</v>
      </c>
      <c r="AX541" s="83">
        <f>K541*AP541</f>
        <v>0</v>
      </c>
      <c r="AY541" s="85" t="s">
        <v>780</v>
      </c>
      <c r="AZ541" s="85" t="s">
        <v>781</v>
      </c>
      <c r="BA541" s="72" t="s">
        <v>58</v>
      </c>
      <c r="BC541" s="83">
        <f>AW541+AX541</f>
        <v>0</v>
      </c>
      <c r="BD541" s="83">
        <f>L541/(100-BE541)*100</f>
        <v>0</v>
      </c>
      <c r="BE541" s="83">
        <v>0</v>
      </c>
      <c r="BF541" s="83">
        <f>540</f>
        <v>540</v>
      </c>
      <c r="BH541" s="83">
        <f>K541*AO541</f>
        <v>0</v>
      </c>
      <c r="BI541" s="83">
        <f>K541*AP541</f>
        <v>0</v>
      </c>
      <c r="BJ541" s="83">
        <f>K541*L541</f>
        <v>0</v>
      </c>
      <c r="BK541" s="83"/>
      <c r="BL541" s="83">
        <v>91</v>
      </c>
    </row>
    <row r="542" spans="1:13" ht="15" customHeight="1">
      <c r="A542" s="86"/>
      <c r="C542" s="87" t="s">
        <v>65</v>
      </c>
      <c r="I542" s="87" t="s">
        <v>49</v>
      </c>
      <c r="K542" s="88">
        <v>3.0000000000000004</v>
      </c>
      <c r="M542" s="89"/>
    </row>
    <row r="543" spans="1:13" ht="54" customHeight="1">
      <c r="A543" s="86"/>
      <c r="B543" s="90" t="s">
        <v>60</v>
      </c>
      <c r="C543" s="161" t="s">
        <v>893</v>
      </c>
      <c r="D543" s="162"/>
      <c r="E543" s="162"/>
      <c r="F543" s="162"/>
      <c r="G543" s="162"/>
      <c r="H543" s="162"/>
      <c r="I543" s="162"/>
      <c r="J543" s="162"/>
      <c r="K543" s="162"/>
      <c r="L543" s="162"/>
      <c r="M543" s="163"/>
    </row>
    <row r="544" spans="1:64" ht="15" customHeight="1">
      <c r="A544" s="65" t="s">
        <v>886</v>
      </c>
      <c r="B544" s="66" t="s">
        <v>895</v>
      </c>
      <c r="C544" s="150" t="s">
        <v>896</v>
      </c>
      <c r="D544" s="150"/>
      <c r="E544" s="150"/>
      <c r="F544" s="150"/>
      <c r="G544" s="150"/>
      <c r="H544" s="150"/>
      <c r="I544" s="150"/>
      <c r="J544" s="66" t="s">
        <v>55</v>
      </c>
      <c r="K544" s="83">
        <v>5</v>
      </c>
      <c r="L544" s="108"/>
      <c r="M544" s="84">
        <f>K544*L544</f>
        <v>0</v>
      </c>
      <c r="Z544" s="83">
        <f>IF(AQ544="5",BJ544,0)</f>
        <v>0</v>
      </c>
      <c r="AB544" s="83">
        <f>IF(AQ544="1",BH544,0)</f>
        <v>0</v>
      </c>
      <c r="AC544" s="83">
        <f>IF(AQ544="1",BI544,0)</f>
        <v>0</v>
      </c>
      <c r="AD544" s="83">
        <f>IF(AQ544="7",BH544,0)</f>
        <v>0</v>
      </c>
      <c r="AE544" s="83">
        <f>IF(AQ544="7",BI544,0)</f>
        <v>0</v>
      </c>
      <c r="AF544" s="83">
        <f>IF(AQ544="2",BH544,0)</f>
        <v>0</v>
      </c>
      <c r="AG544" s="83">
        <f>IF(AQ544="2",BI544,0)</f>
        <v>0</v>
      </c>
      <c r="AH544" s="83">
        <f>IF(AQ544="0",BJ544,0)</f>
        <v>0</v>
      </c>
      <c r="AI544" s="72" t="s">
        <v>49</v>
      </c>
      <c r="AJ544" s="83">
        <f>IF(AN544=0,M544,0)</f>
        <v>0</v>
      </c>
      <c r="AK544" s="83">
        <f>IF(AN544=15,M544,0)</f>
        <v>0</v>
      </c>
      <c r="AL544" s="83">
        <f>IF(AN544=21,M544,0)</f>
        <v>0</v>
      </c>
      <c r="AN544" s="83">
        <v>21</v>
      </c>
      <c r="AO544" s="83">
        <f>L544*1</f>
        <v>0</v>
      </c>
      <c r="AP544" s="83">
        <f>L544*(1-1)</f>
        <v>0</v>
      </c>
      <c r="AQ544" s="85" t="s">
        <v>52</v>
      </c>
      <c r="AV544" s="83">
        <f>AW544+AX544</f>
        <v>0</v>
      </c>
      <c r="AW544" s="83">
        <f>K544*AO544</f>
        <v>0</v>
      </c>
      <c r="AX544" s="83">
        <f>K544*AP544</f>
        <v>0</v>
      </c>
      <c r="AY544" s="85" t="s">
        <v>780</v>
      </c>
      <c r="AZ544" s="85" t="s">
        <v>781</v>
      </c>
      <c r="BA544" s="72" t="s">
        <v>58</v>
      </c>
      <c r="BC544" s="83">
        <f>AW544+AX544</f>
        <v>0</v>
      </c>
      <c r="BD544" s="83">
        <f>L544/(100-BE544)*100</f>
        <v>0</v>
      </c>
      <c r="BE544" s="83">
        <v>0</v>
      </c>
      <c r="BF544" s="83">
        <f>543</f>
        <v>543</v>
      </c>
      <c r="BH544" s="83">
        <f>K544*AO544</f>
        <v>0</v>
      </c>
      <c r="BI544" s="83">
        <f>K544*AP544</f>
        <v>0</v>
      </c>
      <c r="BJ544" s="83">
        <f>K544*L544</f>
        <v>0</v>
      </c>
      <c r="BK544" s="83"/>
      <c r="BL544" s="83">
        <v>91</v>
      </c>
    </row>
    <row r="545" spans="1:13" ht="15" customHeight="1">
      <c r="A545" s="86"/>
      <c r="C545" s="87" t="s">
        <v>73</v>
      </c>
      <c r="I545" s="87" t="s">
        <v>49</v>
      </c>
      <c r="K545" s="88">
        <v>5</v>
      </c>
      <c r="M545" s="89"/>
    </row>
    <row r="546" spans="1:13" ht="54" customHeight="1">
      <c r="A546" s="86"/>
      <c r="B546" s="90" t="s">
        <v>60</v>
      </c>
      <c r="C546" s="161" t="s">
        <v>897</v>
      </c>
      <c r="D546" s="162"/>
      <c r="E546" s="162"/>
      <c r="F546" s="162"/>
      <c r="G546" s="162"/>
      <c r="H546" s="162"/>
      <c r="I546" s="162"/>
      <c r="J546" s="162"/>
      <c r="K546" s="162"/>
      <c r="L546" s="162"/>
      <c r="M546" s="163"/>
    </row>
    <row r="547" spans="1:64" ht="15" customHeight="1">
      <c r="A547" s="65" t="s">
        <v>890</v>
      </c>
      <c r="B547" s="66" t="s">
        <v>899</v>
      </c>
      <c r="C547" s="150" t="s">
        <v>900</v>
      </c>
      <c r="D547" s="150"/>
      <c r="E547" s="150"/>
      <c r="F547" s="150"/>
      <c r="G547" s="150"/>
      <c r="H547" s="150"/>
      <c r="I547" s="150"/>
      <c r="J547" s="66" t="s">
        <v>55</v>
      </c>
      <c r="K547" s="83">
        <v>1</v>
      </c>
      <c r="L547" s="108"/>
      <c r="M547" s="84">
        <f>K547*L547</f>
        <v>0</v>
      </c>
      <c r="Z547" s="83">
        <f>IF(AQ547="5",BJ547,0)</f>
        <v>0</v>
      </c>
      <c r="AB547" s="83">
        <f>IF(AQ547="1",BH547,0)</f>
        <v>0</v>
      </c>
      <c r="AC547" s="83">
        <f>IF(AQ547="1",BI547,0)</f>
        <v>0</v>
      </c>
      <c r="AD547" s="83">
        <f>IF(AQ547="7",BH547,0)</f>
        <v>0</v>
      </c>
      <c r="AE547" s="83">
        <f>IF(AQ547="7",BI547,0)</f>
        <v>0</v>
      </c>
      <c r="AF547" s="83">
        <f>IF(AQ547="2",BH547,0)</f>
        <v>0</v>
      </c>
      <c r="AG547" s="83">
        <f>IF(AQ547="2",BI547,0)</f>
        <v>0</v>
      </c>
      <c r="AH547" s="83">
        <f>IF(AQ547="0",BJ547,0)</f>
        <v>0</v>
      </c>
      <c r="AI547" s="72" t="s">
        <v>49</v>
      </c>
      <c r="AJ547" s="83">
        <f>IF(AN547=0,M547,0)</f>
        <v>0</v>
      </c>
      <c r="AK547" s="83">
        <f>IF(AN547=15,M547,0)</f>
        <v>0</v>
      </c>
      <c r="AL547" s="83">
        <f>IF(AN547=21,M547,0)</f>
        <v>0</v>
      </c>
      <c r="AN547" s="83">
        <v>21</v>
      </c>
      <c r="AO547" s="83">
        <f>L547*1</f>
        <v>0</v>
      </c>
      <c r="AP547" s="83">
        <f>L547*(1-1)</f>
        <v>0</v>
      </c>
      <c r="AQ547" s="85" t="s">
        <v>52</v>
      </c>
      <c r="AV547" s="83">
        <f>AW547+AX547</f>
        <v>0</v>
      </c>
      <c r="AW547" s="83">
        <f>K547*AO547</f>
        <v>0</v>
      </c>
      <c r="AX547" s="83">
        <f>K547*AP547</f>
        <v>0</v>
      </c>
      <c r="AY547" s="85" t="s">
        <v>780</v>
      </c>
      <c r="AZ547" s="85" t="s">
        <v>781</v>
      </c>
      <c r="BA547" s="72" t="s">
        <v>58</v>
      </c>
      <c r="BC547" s="83">
        <f>AW547+AX547</f>
        <v>0</v>
      </c>
      <c r="BD547" s="83">
        <f>L547/(100-BE547)*100</f>
        <v>0</v>
      </c>
      <c r="BE547" s="83">
        <v>0</v>
      </c>
      <c r="BF547" s="83">
        <f>546</f>
        <v>546</v>
      </c>
      <c r="BH547" s="83">
        <f>K547*AO547</f>
        <v>0</v>
      </c>
      <c r="BI547" s="83">
        <f>K547*AP547</f>
        <v>0</v>
      </c>
      <c r="BJ547" s="83">
        <f>K547*L547</f>
        <v>0</v>
      </c>
      <c r="BK547" s="83"/>
      <c r="BL547" s="83">
        <v>91</v>
      </c>
    </row>
    <row r="548" spans="1:13" ht="15" customHeight="1">
      <c r="A548" s="86"/>
      <c r="C548" s="87" t="s">
        <v>52</v>
      </c>
      <c r="I548" s="87" t="s">
        <v>901</v>
      </c>
      <c r="K548" s="88">
        <v>1</v>
      </c>
      <c r="M548" s="89"/>
    </row>
    <row r="549" spans="1:13" ht="54" customHeight="1">
      <c r="A549" s="86"/>
      <c r="B549" s="90" t="s">
        <v>60</v>
      </c>
      <c r="C549" s="161" t="s">
        <v>897</v>
      </c>
      <c r="D549" s="162"/>
      <c r="E549" s="162"/>
      <c r="F549" s="162"/>
      <c r="G549" s="162"/>
      <c r="H549" s="162"/>
      <c r="I549" s="162"/>
      <c r="J549" s="162"/>
      <c r="K549" s="162"/>
      <c r="L549" s="162"/>
      <c r="M549" s="163"/>
    </row>
    <row r="550" spans="1:64" ht="15" customHeight="1">
      <c r="A550" s="65" t="s">
        <v>894</v>
      </c>
      <c r="B550" s="66" t="s">
        <v>903</v>
      </c>
      <c r="C550" s="150" t="s">
        <v>904</v>
      </c>
      <c r="D550" s="150"/>
      <c r="E550" s="150"/>
      <c r="F550" s="150"/>
      <c r="G550" s="150"/>
      <c r="H550" s="150"/>
      <c r="I550" s="150"/>
      <c r="J550" s="66" t="s">
        <v>55</v>
      </c>
      <c r="K550" s="83">
        <v>6</v>
      </c>
      <c r="L550" s="108"/>
      <c r="M550" s="84">
        <f>K550*L550</f>
        <v>0</v>
      </c>
      <c r="Z550" s="83">
        <f>IF(AQ550="5",BJ550,0)</f>
        <v>0</v>
      </c>
      <c r="AB550" s="83">
        <f>IF(AQ550="1",BH550,0)</f>
        <v>0</v>
      </c>
      <c r="AC550" s="83">
        <f>IF(AQ550="1",BI550,0)</f>
        <v>0</v>
      </c>
      <c r="AD550" s="83">
        <f>IF(AQ550="7",BH550,0)</f>
        <v>0</v>
      </c>
      <c r="AE550" s="83">
        <f>IF(AQ550="7",BI550,0)</f>
        <v>0</v>
      </c>
      <c r="AF550" s="83">
        <f>IF(AQ550="2",BH550,0)</f>
        <v>0</v>
      </c>
      <c r="AG550" s="83">
        <f>IF(AQ550="2",BI550,0)</f>
        <v>0</v>
      </c>
      <c r="AH550" s="83">
        <f>IF(AQ550="0",BJ550,0)</f>
        <v>0</v>
      </c>
      <c r="AI550" s="72" t="s">
        <v>49</v>
      </c>
      <c r="AJ550" s="83">
        <f>IF(AN550=0,M550,0)</f>
        <v>0</v>
      </c>
      <c r="AK550" s="83">
        <f>IF(AN550=15,M550,0)</f>
        <v>0</v>
      </c>
      <c r="AL550" s="83">
        <f>IF(AN550=21,M550,0)</f>
        <v>0</v>
      </c>
      <c r="AN550" s="83">
        <v>21</v>
      </c>
      <c r="AO550" s="83">
        <f>L550*1</f>
        <v>0</v>
      </c>
      <c r="AP550" s="83">
        <f>L550*(1-1)</f>
        <v>0</v>
      </c>
      <c r="AQ550" s="85" t="s">
        <v>52</v>
      </c>
      <c r="AV550" s="83">
        <f>AW550+AX550</f>
        <v>0</v>
      </c>
      <c r="AW550" s="83">
        <f>K550*AO550</f>
        <v>0</v>
      </c>
      <c r="AX550" s="83">
        <f>K550*AP550</f>
        <v>0</v>
      </c>
      <c r="AY550" s="85" t="s">
        <v>780</v>
      </c>
      <c r="AZ550" s="85" t="s">
        <v>781</v>
      </c>
      <c r="BA550" s="72" t="s">
        <v>58</v>
      </c>
      <c r="BC550" s="83">
        <f>AW550+AX550</f>
        <v>0</v>
      </c>
      <c r="BD550" s="83">
        <f>L550/(100-BE550)*100</f>
        <v>0</v>
      </c>
      <c r="BE550" s="83">
        <v>0</v>
      </c>
      <c r="BF550" s="83">
        <f>549</f>
        <v>549</v>
      </c>
      <c r="BH550" s="83">
        <f>K550*AO550</f>
        <v>0</v>
      </c>
      <c r="BI550" s="83">
        <f>K550*AP550</f>
        <v>0</v>
      </c>
      <c r="BJ550" s="83">
        <f>K550*L550</f>
        <v>0</v>
      </c>
      <c r="BK550" s="83"/>
      <c r="BL550" s="83">
        <v>91</v>
      </c>
    </row>
    <row r="551" spans="1:13" ht="15" customHeight="1">
      <c r="A551" s="86"/>
      <c r="C551" s="87" t="s">
        <v>59</v>
      </c>
      <c r="I551" s="87" t="s">
        <v>49</v>
      </c>
      <c r="K551" s="88">
        <v>6.000000000000001</v>
      </c>
      <c r="M551" s="89"/>
    </row>
    <row r="552" spans="1:13" ht="54" customHeight="1">
      <c r="A552" s="86"/>
      <c r="B552" s="90" t="s">
        <v>60</v>
      </c>
      <c r="C552" s="161" t="s">
        <v>905</v>
      </c>
      <c r="D552" s="162"/>
      <c r="E552" s="162"/>
      <c r="F552" s="162"/>
      <c r="G552" s="162"/>
      <c r="H552" s="162"/>
      <c r="I552" s="162"/>
      <c r="J552" s="162"/>
      <c r="K552" s="162"/>
      <c r="L552" s="162"/>
      <c r="M552" s="163"/>
    </row>
    <row r="553" spans="1:64" ht="15" customHeight="1">
      <c r="A553" s="65" t="s">
        <v>898</v>
      </c>
      <c r="B553" s="66" t="s">
        <v>907</v>
      </c>
      <c r="C553" s="150" t="s">
        <v>908</v>
      </c>
      <c r="D553" s="150"/>
      <c r="E553" s="150"/>
      <c r="F553" s="150"/>
      <c r="G553" s="150"/>
      <c r="H553" s="150"/>
      <c r="I553" s="150"/>
      <c r="J553" s="66" t="s">
        <v>55</v>
      </c>
      <c r="K553" s="83">
        <v>1</v>
      </c>
      <c r="L553" s="108"/>
      <c r="M553" s="84">
        <f>K553*L553</f>
        <v>0</v>
      </c>
      <c r="Z553" s="83">
        <f>IF(AQ553="5",BJ553,0)</f>
        <v>0</v>
      </c>
      <c r="AB553" s="83">
        <f>IF(AQ553="1",BH553,0)</f>
        <v>0</v>
      </c>
      <c r="AC553" s="83">
        <f>IF(AQ553="1",BI553,0)</f>
        <v>0</v>
      </c>
      <c r="AD553" s="83">
        <f>IF(AQ553="7",BH553,0)</f>
        <v>0</v>
      </c>
      <c r="AE553" s="83">
        <f>IF(AQ553="7",BI553,0)</f>
        <v>0</v>
      </c>
      <c r="AF553" s="83">
        <f>IF(AQ553="2",BH553,0)</f>
        <v>0</v>
      </c>
      <c r="AG553" s="83">
        <f>IF(AQ553="2",BI553,0)</f>
        <v>0</v>
      </c>
      <c r="AH553" s="83">
        <f>IF(AQ553="0",BJ553,0)</f>
        <v>0</v>
      </c>
      <c r="AI553" s="72" t="s">
        <v>49</v>
      </c>
      <c r="AJ553" s="83">
        <f>IF(AN553=0,M553,0)</f>
        <v>0</v>
      </c>
      <c r="AK553" s="83">
        <f>IF(AN553=15,M553,0)</f>
        <v>0</v>
      </c>
      <c r="AL553" s="83">
        <f>IF(AN553=21,M553,0)</f>
        <v>0</v>
      </c>
      <c r="AN553" s="83">
        <v>21</v>
      </c>
      <c r="AO553" s="83">
        <f>L553*1</f>
        <v>0</v>
      </c>
      <c r="AP553" s="83">
        <f>L553*(1-1)</f>
        <v>0</v>
      </c>
      <c r="AQ553" s="85" t="s">
        <v>52</v>
      </c>
      <c r="AV553" s="83">
        <f>AW553+AX553</f>
        <v>0</v>
      </c>
      <c r="AW553" s="83">
        <f>K553*AO553</f>
        <v>0</v>
      </c>
      <c r="AX553" s="83">
        <f>K553*AP553</f>
        <v>0</v>
      </c>
      <c r="AY553" s="85" t="s">
        <v>780</v>
      </c>
      <c r="AZ553" s="85" t="s">
        <v>781</v>
      </c>
      <c r="BA553" s="72" t="s">
        <v>58</v>
      </c>
      <c r="BC553" s="83">
        <f>AW553+AX553</f>
        <v>0</v>
      </c>
      <c r="BD553" s="83">
        <f>L553/(100-BE553)*100</f>
        <v>0</v>
      </c>
      <c r="BE553" s="83">
        <v>0</v>
      </c>
      <c r="BF553" s="83">
        <f>552</f>
        <v>552</v>
      </c>
      <c r="BH553" s="83">
        <f>K553*AO553</f>
        <v>0</v>
      </c>
      <c r="BI553" s="83">
        <f>K553*AP553</f>
        <v>0</v>
      </c>
      <c r="BJ553" s="83">
        <f>K553*L553</f>
        <v>0</v>
      </c>
      <c r="BK553" s="83"/>
      <c r="BL553" s="83">
        <v>91</v>
      </c>
    </row>
    <row r="554" spans="1:13" ht="15" customHeight="1">
      <c r="A554" s="86"/>
      <c r="C554" s="87" t="s">
        <v>52</v>
      </c>
      <c r="I554" s="87" t="s">
        <v>49</v>
      </c>
      <c r="K554" s="88">
        <v>1</v>
      </c>
      <c r="M554" s="89"/>
    </row>
    <row r="555" spans="1:13" ht="54" customHeight="1">
      <c r="A555" s="86"/>
      <c r="B555" s="90" t="s">
        <v>60</v>
      </c>
      <c r="C555" s="161" t="s">
        <v>905</v>
      </c>
      <c r="D555" s="162"/>
      <c r="E555" s="162"/>
      <c r="F555" s="162"/>
      <c r="G555" s="162"/>
      <c r="H555" s="162"/>
      <c r="I555" s="162"/>
      <c r="J555" s="162"/>
      <c r="K555" s="162"/>
      <c r="L555" s="162"/>
      <c r="M555" s="163"/>
    </row>
    <row r="556" spans="1:64" ht="15" customHeight="1">
      <c r="A556" s="65" t="s">
        <v>902</v>
      </c>
      <c r="B556" s="66" t="s">
        <v>910</v>
      </c>
      <c r="C556" s="150" t="s">
        <v>911</v>
      </c>
      <c r="D556" s="150"/>
      <c r="E556" s="150"/>
      <c r="F556" s="150"/>
      <c r="G556" s="150"/>
      <c r="H556" s="150"/>
      <c r="I556" s="150"/>
      <c r="J556" s="66" t="s">
        <v>55</v>
      </c>
      <c r="K556" s="83">
        <v>7</v>
      </c>
      <c r="L556" s="108"/>
      <c r="M556" s="84">
        <f>K556*L556</f>
        <v>0</v>
      </c>
      <c r="Z556" s="83">
        <f>IF(AQ556="5",BJ556,0)</f>
        <v>0</v>
      </c>
      <c r="AB556" s="83">
        <f>IF(AQ556="1",BH556,0)</f>
        <v>0</v>
      </c>
      <c r="AC556" s="83">
        <f>IF(AQ556="1",BI556,0)</f>
        <v>0</v>
      </c>
      <c r="AD556" s="83">
        <f>IF(AQ556="7",BH556,0)</f>
        <v>0</v>
      </c>
      <c r="AE556" s="83">
        <f>IF(AQ556="7",BI556,0)</f>
        <v>0</v>
      </c>
      <c r="AF556" s="83">
        <f>IF(AQ556="2",BH556,0)</f>
        <v>0</v>
      </c>
      <c r="AG556" s="83">
        <f>IF(AQ556="2",BI556,0)</f>
        <v>0</v>
      </c>
      <c r="AH556" s="83">
        <f>IF(AQ556="0",BJ556,0)</f>
        <v>0</v>
      </c>
      <c r="AI556" s="72" t="s">
        <v>49</v>
      </c>
      <c r="AJ556" s="83">
        <f>IF(AN556=0,M556,0)</f>
        <v>0</v>
      </c>
      <c r="AK556" s="83">
        <f>IF(AN556=15,M556,0)</f>
        <v>0</v>
      </c>
      <c r="AL556" s="83">
        <f>IF(AN556=21,M556,0)</f>
        <v>0</v>
      </c>
      <c r="AN556" s="83">
        <v>21</v>
      </c>
      <c r="AO556" s="83">
        <f>L556*1</f>
        <v>0</v>
      </c>
      <c r="AP556" s="83">
        <f>L556*(1-1)</f>
        <v>0</v>
      </c>
      <c r="AQ556" s="85" t="s">
        <v>52</v>
      </c>
      <c r="AV556" s="83">
        <f>AW556+AX556</f>
        <v>0</v>
      </c>
      <c r="AW556" s="83">
        <f>K556*AO556</f>
        <v>0</v>
      </c>
      <c r="AX556" s="83">
        <f>K556*AP556</f>
        <v>0</v>
      </c>
      <c r="AY556" s="85" t="s">
        <v>780</v>
      </c>
      <c r="AZ556" s="85" t="s">
        <v>781</v>
      </c>
      <c r="BA556" s="72" t="s">
        <v>58</v>
      </c>
      <c r="BC556" s="83">
        <f>AW556+AX556</f>
        <v>0</v>
      </c>
      <c r="BD556" s="83">
        <f>L556/(100-BE556)*100</f>
        <v>0</v>
      </c>
      <c r="BE556" s="83">
        <v>0</v>
      </c>
      <c r="BF556" s="83">
        <f>555</f>
        <v>555</v>
      </c>
      <c r="BH556" s="83">
        <f>K556*AO556</f>
        <v>0</v>
      </c>
      <c r="BI556" s="83">
        <f>K556*AP556</f>
        <v>0</v>
      </c>
      <c r="BJ556" s="83">
        <f>K556*L556</f>
        <v>0</v>
      </c>
      <c r="BK556" s="83"/>
      <c r="BL556" s="83">
        <v>91</v>
      </c>
    </row>
    <row r="557" spans="1:13" ht="15" customHeight="1">
      <c r="A557" s="86"/>
      <c r="C557" s="87" t="s">
        <v>82</v>
      </c>
      <c r="I557" s="87" t="s">
        <v>49</v>
      </c>
      <c r="K557" s="88">
        <v>7.000000000000001</v>
      </c>
      <c r="M557" s="89"/>
    </row>
    <row r="558" spans="1:13" ht="54" customHeight="1">
      <c r="A558" s="86"/>
      <c r="B558" s="90" t="s">
        <v>60</v>
      </c>
      <c r="C558" s="161" t="s">
        <v>912</v>
      </c>
      <c r="D558" s="162"/>
      <c r="E558" s="162"/>
      <c r="F558" s="162"/>
      <c r="G558" s="162"/>
      <c r="H558" s="162"/>
      <c r="I558" s="162"/>
      <c r="J558" s="162"/>
      <c r="K558" s="162"/>
      <c r="L558" s="162"/>
      <c r="M558" s="163"/>
    </row>
    <row r="559" spans="1:64" ht="15" customHeight="1">
      <c r="A559" s="65" t="s">
        <v>906</v>
      </c>
      <c r="B559" s="66" t="s">
        <v>914</v>
      </c>
      <c r="C559" s="150" t="s">
        <v>915</v>
      </c>
      <c r="D559" s="150"/>
      <c r="E559" s="150"/>
      <c r="F559" s="150"/>
      <c r="G559" s="150"/>
      <c r="H559" s="150"/>
      <c r="I559" s="150"/>
      <c r="J559" s="66" t="s">
        <v>55</v>
      </c>
      <c r="K559" s="83">
        <v>4</v>
      </c>
      <c r="L559" s="108"/>
      <c r="M559" s="84">
        <f>K559*L559</f>
        <v>0</v>
      </c>
      <c r="Z559" s="83">
        <f>IF(AQ559="5",BJ559,0)</f>
        <v>0</v>
      </c>
      <c r="AB559" s="83">
        <f>IF(AQ559="1",BH559,0)</f>
        <v>0</v>
      </c>
      <c r="AC559" s="83">
        <f>IF(AQ559="1",BI559,0)</f>
        <v>0</v>
      </c>
      <c r="AD559" s="83">
        <f>IF(AQ559="7",BH559,0)</f>
        <v>0</v>
      </c>
      <c r="AE559" s="83">
        <f>IF(AQ559="7",BI559,0)</f>
        <v>0</v>
      </c>
      <c r="AF559" s="83">
        <f>IF(AQ559="2",BH559,0)</f>
        <v>0</v>
      </c>
      <c r="AG559" s="83">
        <f>IF(AQ559="2",BI559,0)</f>
        <v>0</v>
      </c>
      <c r="AH559" s="83">
        <f>IF(AQ559="0",BJ559,0)</f>
        <v>0</v>
      </c>
      <c r="AI559" s="72" t="s">
        <v>49</v>
      </c>
      <c r="AJ559" s="83">
        <f>IF(AN559=0,M559,0)</f>
        <v>0</v>
      </c>
      <c r="AK559" s="83">
        <f>IF(AN559=15,M559,0)</f>
        <v>0</v>
      </c>
      <c r="AL559" s="83">
        <f>IF(AN559=21,M559,0)</f>
        <v>0</v>
      </c>
      <c r="AN559" s="83">
        <v>21</v>
      </c>
      <c r="AO559" s="83">
        <f>L559*1</f>
        <v>0</v>
      </c>
      <c r="AP559" s="83">
        <f>L559*(1-1)</f>
        <v>0</v>
      </c>
      <c r="AQ559" s="85" t="s">
        <v>52</v>
      </c>
      <c r="AV559" s="83">
        <f>AW559+AX559</f>
        <v>0</v>
      </c>
      <c r="AW559" s="83">
        <f>K559*AO559</f>
        <v>0</v>
      </c>
      <c r="AX559" s="83">
        <f>K559*AP559</f>
        <v>0</v>
      </c>
      <c r="AY559" s="85" t="s">
        <v>780</v>
      </c>
      <c r="AZ559" s="85" t="s">
        <v>781</v>
      </c>
      <c r="BA559" s="72" t="s">
        <v>58</v>
      </c>
      <c r="BC559" s="83">
        <f>AW559+AX559</f>
        <v>0</v>
      </c>
      <c r="BD559" s="83">
        <f>L559/(100-BE559)*100</f>
        <v>0</v>
      </c>
      <c r="BE559" s="83">
        <v>0</v>
      </c>
      <c r="BF559" s="83">
        <f>558</f>
        <v>558</v>
      </c>
      <c r="BH559" s="83">
        <f>K559*AO559</f>
        <v>0</v>
      </c>
      <c r="BI559" s="83">
        <f>K559*AP559</f>
        <v>0</v>
      </c>
      <c r="BJ559" s="83">
        <f>K559*L559</f>
        <v>0</v>
      </c>
      <c r="BK559" s="83"/>
      <c r="BL559" s="83">
        <v>91</v>
      </c>
    </row>
    <row r="560" spans="1:13" ht="15" customHeight="1">
      <c r="A560" s="86"/>
      <c r="C560" s="87" t="s">
        <v>68</v>
      </c>
      <c r="I560" s="87" t="s">
        <v>49</v>
      </c>
      <c r="K560" s="88">
        <v>4</v>
      </c>
      <c r="M560" s="89"/>
    </row>
    <row r="561" spans="1:13" ht="54" customHeight="1">
      <c r="A561" s="86"/>
      <c r="B561" s="90" t="s">
        <v>60</v>
      </c>
      <c r="C561" s="161" t="s">
        <v>912</v>
      </c>
      <c r="D561" s="162"/>
      <c r="E561" s="162"/>
      <c r="F561" s="162"/>
      <c r="G561" s="162"/>
      <c r="H561" s="162"/>
      <c r="I561" s="162"/>
      <c r="J561" s="162"/>
      <c r="K561" s="162"/>
      <c r="L561" s="162"/>
      <c r="M561" s="163"/>
    </row>
    <row r="562" spans="1:64" ht="15" customHeight="1">
      <c r="A562" s="65" t="s">
        <v>909</v>
      </c>
      <c r="B562" s="66" t="s">
        <v>917</v>
      </c>
      <c r="C562" s="150" t="s">
        <v>918</v>
      </c>
      <c r="D562" s="150"/>
      <c r="E562" s="150"/>
      <c r="F562" s="150"/>
      <c r="G562" s="150"/>
      <c r="H562" s="150"/>
      <c r="I562" s="150"/>
      <c r="J562" s="66" t="s">
        <v>55</v>
      </c>
      <c r="K562" s="83">
        <v>1</v>
      </c>
      <c r="L562" s="108"/>
      <c r="M562" s="84">
        <f>K562*L562</f>
        <v>0</v>
      </c>
      <c r="Z562" s="83">
        <f>IF(AQ562="5",BJ562,0)</f>
        <v>0</v>
      </c>
      <c r="AB562" s="83">
        <f>IF(AQ562="1",BH562,0)</f>
        <v>0</v>
      </c>
      <c r="AC562" s="83">
        <f>IF(AQ562="1",BI562,0)</f>
        <v>0</v>
      </c>
      <c r="AD562" s="83">
        <f>IF(AQ562="7",BH562,0)</f>
        <v>0</v>
      </c>
      <c r="AE562" s="83">
        <f>IF(AQ562="7",BI562,0)</f>
        <v>0</v>
      </c>
      <c r="AF562" s="83">
        <f>IF(AQ562="2",BH562,0)</f>
        <v>0</v>
      </c>
      <c r="AG562" s="83">
        <f>IF(AQ562="2",BI562,0)</f>
        <v>0</v>
      </c>
      <c r="AH562" s="83">
        <f>IF(AQ562="0",BJ562,0)</f>
        <v>0</v>
      </c>
      <c r="AI562" s="72" t="s">
        <v>49</v>
      </c>
      <c r="AJ562" s="83">
        <f>IF(AN562=0,M562,0)</f>
        <v>0</v>
      </c>
      <c r="AK562" s="83">
        <f>IF(AN562=15,M562,0)</f>
        <v>0</v>
      </c>
      <c r="AL562" s="83">
        <f>IF(AN562=21,M562,0)</f>
        <v>0</v>
      </c>
      <c r="AN562" s="83">
        <v>21</v>
      </c>
      <c r="AO562" s="83">
        <f>L562*1</f>
        <v>0</v>
      </c>
      <c r="AP562" s="83">
        <f>L562*(1-1)</f>
        <v>0</v>
      </c>
      <c r="AQ562" s="85" t="s">
        <v>52</v>
      </c>
      <c r="AV562" s="83">
        <f>AW562+AX562</f>
        <v>0</v>
      </c>
      <c r="AW562" s="83">
        <f>K562*AO562</f>
        <v>0</v>
      </c>
      <c r="AX562" s="83">
        <f>K562*AP562</f>
        <v>0</v>
      </c>
      <c r="AY562" s="85" t="s">
        <v>780</v>
      </c>
      <c r="AZ562" s="85" t="s">
        <v>781</v>
      </c>
      <c r="BA562" s="72" t="s">
        <v>58</v>
      </c>
      <c r="BC562" s="83">
        <f>AW562+AX562</f>
        <v>0</v>
      </c>
      <c r="BD562" s="83">
        <f>L562/(100-BE562)*100</f>
        <v>0</v>
      </c>
      <c r="BE562" s="83">
        <v>0</v>
      </c>
      <c r="BF562" s="83">
        <f>561</f>
        <v>561</v>
      </c>
      <c r="BH562" s="83">
        <f>K562*AO562</f>
        <v>0</v>
      </c>
      <c r="BI562" s="83">
        <f>K562*AP562</f>
        <v>0</v>
      </c>
      <c r="BJ562" s="83">
        <f>K562*L562</f>
        <v>0</v>
      </c>
      <c r="BK562" s="83"/>
      <c r="BL562" s="83">
        <v>91</v>
      </c>
    </row>
    <row r="563" spans="1:13" ht="15" customHeight="1">
      <c r="A563" s="86"/>
      <c r="C563" s="87" t="s">
        <v>52</v>
      </c>
      <c r="I563" s="87" t="s">
        <v>49</v>
      </c>
      <c r="K563" s="88">
        <v>1</v>
      </c>
      <c r="M563" s="89"/>
    </row>
    <row r="564" spans="1:13" ht="54" customHeight="1">
      <c r="A564" s="86"/>
      <c r="B564" s="90" t="s">
        <v>60</v>
      </c>
      <c r="C564" s="161" t="s">
        <v>897</v>
      </c>
      <c r="D564" s="162"/>
      <c r="E564" s="162"/>
      <c r="F564" s="162"/>
      <c r="G564" s="162"/>
      <c r="H564" s="162"/>
      <c r="I564" s="162"/>
      <c r="J564" s="162"/>
      <c r="K564" s="162"/>
      <c r="L564" s="162"/>
      <c r="M564" s="163"/>
    </row>
    <row r="565" spans="1:64" ht="15" customHeight="1">
      <c r="A565" s="65" t="s">
        <v>913</v>
      </c>
      <c r="B565" s="66" t="s">
        <v>920</v>
      </c>
      <c r="C565" s="150" t="s">
        <v>921</v>
      </c>
      <c r="D565" s="150"/>
      <c r="E565" s="150"/>
      <c r="F565" s="150"/>
      <c r="G565" s="150"/>
      <c r="H565" s="150"/>
      <c r="I565" s="150"/>
      <c r="J565" s="66" t="s">
        <v>55</v>
      </c>
      <c r="K565" s="83">
        <v>2</v>
      </c>
      <c r="L565" s="108"/>
      <c r="M565" s="84">
        <f>K565*L565</f>
        <v>0</v>
      </c>
      <c r="Z565" s="83">
        <f>IF(AQ565="5",BJ565,0)</f>
        <v>0</v>
      </c>
      <c r="AB565" s="83">
        <f>IF(AQ565="1",BH565,0)</f>
        <v>0</v>
      </c>
      <c r="AC565" s="83">
        <f>IF(AQ565="1",BI565,0)</f>
        <v>0</v>
      </c>
      <c r="AD565" s="83">
        <f>IF(AQ565="7",BH565,0)</f>
        <v>0</v>
      </c>
      <c r="AE565" s="83">
        <f>IF(AQ565="7",BI565,0)</f>
        <v>0</v>
      </c>
      <c r="AF565" s="83">
        <f>IF(AQ565="2",BH565,0)</f>
        <v>0</v>
      </c>
      <c r="AG565" s="83">
        <f>IF(AQ565="2",BI565,0)</f>
        <v>0</v>
      </c>
      <c r="AH565" s="83">
        <f>IF(AQ565="0",BJ565,0)</f>
        <v>0</v>
      </c>
      <c r="AI565" s="72" t="s">
        <v>49</v>
      </c>
      <c r="AJ565" s="83">
        <f>IF(AN565=0,M565,0)</f>
        <v>0</v>
      </c>
      <c r="AK565" s="83">
        <f>IF(AN565=15,M565,0)</f>
        <v>0</v>
      </c>
      <c r="AL565" s="83">
        <f>IF(AN565=21,M565,0)</f>
        <v>0</v>
      </c>
      <c r="AN565" s="83">
        <v>21</v>
      </c>
      <c r="AO565" s="83">
        <f>L565*1</f>
        <v>0</v>
      </c>
      <c r="AP565" s="83">
        <f>L565*(1-1)</f>
        <v>0</v>
      </c>
      <c r="AQ565" s="85" t="s">
        <v>52</v>
      </c>
      <c r="AV565" s="83">
        <f>AW565+AX565</f>
        <v>0</v>
      </c>
      <c r="AW565" s="83">
        <f>K565*AO565</f>
        <v>0</v>
      </c>
      <c r="AX565" s="83">
        <f>K565*AP565</f>
        <v>0</v>
      </c>
      <c r="AY565" s="85" t="s">
        <v>780</v>
      </c>
      <c r="AZ565" s="85" t="s">
        <v>781</v>
      </c>
      <c r="BA565" s="72" t="s">
        <v>58</v>
      </c>
      <c r="BC565" s="83">
        <f>AW565+AX565</f>
        <v>0</v>
      </c>
      <c r="BD565" s="83">
        <f>L565/(100-BE565)*100</f>
        <v>0</v>
      </c>
      <c r="BE565" s="83">
        <v>0</v>
      </c>
      <c r="BF565" s="83">
        <f>564</f>
        <v>564</v>
      </c>
      <c r="BH565" s="83">
        <f>K565*AO565</f>
        <v>0</v>
      </c>
      <c r="BI565" s="83">
        <f>K565*AP565</f>
        <v>0</v>
      </c>
      <c r="BJ565" s="83">
        <f>K565*L565</f>
        <v>0</v>
      </c>
      <c r="BK565" s="83"/>
      <c r="BL565" s="83">
        <v>91</v>
      </c>
    </row>
    <row r="566" spans="1:13" ht="15" customHeight="1">
      <c r="A566" s="86"/>
      <c r="C566" s="87" t="s">
        <v>62</v>
      </c>
      <c r="I566" s="87" t="s">
        <v>49</v>
      </c>
      <c r="K566" s="88">
        <v>2</v>
      </c>
      <c r="M566" s="89"/>
    </row>
    <row r="567" spans="1:13" ht="94.5" customHeight="1">
      <c r="A567" s="86"/>
      <c r="B567" s="90" t="s">
        <v>60</v>
      </c>
      <c r="C567" s="161" t="s">
        <v>922</v>
      </c>
      <c r="D567" s="162"/>
      <c r="E567" s="162"/>
      <c r="F567" s="162"/>
      <c r="G567" s="162"/>
      <c r="H567" s="162"/>
      <c r="I567" s="162"/>
      <c r="J567" s="162"/>
      <c r="K567" s="162"/>
      <c r="L567" s="162"/>
      <c r="M567" s="163"/>
    </row>
    <row r="568" spans="1:64" ht="15" customHeight="1">
      <c r="A568" s="65" t="s">
        <v>916</v>
      </c>
      <c r="B568" s="66" t="s">
        <v>924</v>
      </c>
      <c r="C568" s="150" t="s">
        <v>925</v>
      </c>
      <c r="D568" s="150"/>
      <c r="E568" s="150"/>
      <c r="F568" s="150"/>
      <c r="G568" s="150"/>
      <c r="H568" s="150"/>
      <c r="I568" s="150"/>
      <c r="J568" s="66" t="s">
        <v>55</v>
      </c>
      <c r="K568" s="83">
        <v>1</v>
      </c>
      <c r="L568" s="108"/>
      <c r="M568" s="84">
        <f>K568*L568</f>
        <v>0</v>
      </c>
      <c r="Z568" s="83">
        <f>IF(AQ568="5",BJ568,0)</f>
        <v>0</v>
      </c>
      <c r="AB568" s="83">
        <f>IF(AQ568="1",BH568,0)</f>
        <v>0</v>
      </c>
      <c r="AC568" s="83">
        <f>IF(AQ568="1",BI568,0)</f>
        <v>0</v>
      </c>
      <c r="AD568" s="83">
        <f>IF(AQ568="7",BH568,0)</f>
        <v>0</v>
      </c>
      <c r="AE568" s="83">
        <f>IF(AQ568="7",BI568,0)</f>
        <v>0</v>
      </c>
      <c r="AF568" s="83">
        <f>IF(AQ568="2",BH568,0)</f>
        <v>0</v>
      </c>
      <c r="AG568" s="83">
        <f>IF(AQ568="2",BI568,0)</f>
        <v>0</v>
      </c>
      <c r="AH568" s="83">
        <f>IF(AQ568="0",BJ568,0)</f>
        <v>0</v>
      </c>
      <c r="AI568" s="72" t="s">
        <v>49</v>
      </c>
      <c r="AJ568" s="83">
        <f>IF(AN568=0,M568,0)</f>
        <v>0</v>
      </c>
      <c r="AK568" s="83">
        <f>IF(AN568=15,M568,0)</f>
        <v>0</v>
      </c>
      <c r="AL568" s="83">
        <f>IF(AN568=21,M568,0)</f>
        <v>0</v>
      </c>
      <c r="AN568" s="83">
        <v>21</v>
      </c>
      <c r="AO568" s="83">
        <f>L568*1</f>
        <v>0</v>
      </c>
      <c r="AP568" s="83">
        <f>L568*(1-1)</f>
        <v>0</v>
      </c>
      <c r="AQ568" s="85" t="s">
        <v>52</v>
      </c>
      <c r="AV568" s="83">
        <f>AW568+AX568</f>
        <v>0</v>
      </c>
      <c r="AW568" s="83">
        <f>K568*AO568</f>
        <v>0</v>
      </c>
      <c r="AX568" s="83">
        <f>K568*AP568</f>
        <v>0</v>
      </c>
      <c r="AY568" s="85" t="s">
        <v>780</v>
      </c>
      <c r="AZ568" s="85" t="s">
        <v>781</v>
      </c>
      <c r="BA568" s="72" t="s">
        <v>58</v>
      </c>
      <c r="BC568" s="83">
        <f>AW568+AX568</f>
        <v>0</v>
      </c>
      <c r="BD568" s="83">
        <f>L568/(100-BE568)*100</f>
        <v>0</v>
      </c>
      <c r="BE568" s="83">
        <v>0</v>
      </c>
      <c r="BF568" s="83">
        <f>567</f>
        <v>567</v>
      </c>
      <c r="BH568" s="83">
        <f>K568*AO568</f>
        <v>0</v>
      </c>
      <c r="BI568" s="83">
        <f>K568*AP568</f>
        <v>0</v>
      </c>
      <c r="BJ568" s="83">
        <f>K568*L568</f>
        <v>0</v>
      </c>
      <c r="BK568" s="83"/>
      <c r="BL568" s="83">
        <v>91</v>
      </c>
    </row>
    <row r="569" spans="1:13" ht="15" customHeight="1">
      <c r="A569" s="86"/>
      <c r="C569" s="87" t="s">
        <v>52</v>
      </c>
      <c r="I569" s="87" t="s">
        <v>49</v>
      </c>
      <c r="K569" s="88">
        <v>1</v>
      </c>
      <c r="M569" s="89"/>
    </row>
    <row r="570" spans="1:13" ht="94.5" customHeight="1">
      <c r="A570" s="86"/>
      <c r="B570" s="90" t="s">
        <v>60</v>
      </c>
      <c r="C570" s="161" t="s">
        <v>926</v>
      </c>
      <c r="D570" s="162"/>
      <c r="E570" s="162"/>
      <c r="F570" s="162"/>
      <c r="G570" s="162"/>
      <c r="H570" s="162"/>
      <c r="I570" s="162"/>
      <c r="J570" s="162"/>
      <c r="K570" s="162"/>
      <c r="L570" s="162"/>
      <c r="M570" s="163"/>
    </row>
    <row r="571" spans="1:64" ht="15" customHeight="1">
      <c r="A571" s="65" t="s">
        <v>919</v>
      </c>
      <c r="B571" s="66" t="s">
        <v>928</v>
      </c>
      <c r="C571" s="150" t="s">
        <v>929</v>
      </c>
      <c r="D571" s="150"/>
      <c r="E571" s="150"/>
      <c r="F571" s="150"/>
      <c r="G571" s="150"/>
      <c r="H571" s="150"/>
      <c r="I571" s="150"/>
      <c r="J571" s="66" t="s">
        <v>55</v>
      </c>
      <c r="K571" s="83">
        <v>17</v>
      </c>
      <c r="L571" s="108"/>
      <c r="M571" s="84">
        <f>K571*L571</f>
        <v>0</v>
      </c>
      <c r="Z571" s="83">
        <f>IF(AQ571="5",BJ571,0)</f>
        <v>0</v>
      </c>
      <c r="AB571" s="83">
        <f>IF(AQ571="1",BH571,0)</f>
        <v>0</v>
      </c>
      <c r="AC571" s="83">
        <f>IF(AQ571="1",BI571,0)</f>
        <v>0</v>
      </c>
      <c r="AD571" s="83">
        <f>IF(AQ571="7",BH571,0)</f>
        <v>0</v>
      </c>
      <c r="AE571" s="83">
        <f>IF(AQ571="7",BI571,0)</f>
        <v>0</v>
      </c>
      <c r="AF571" s="83">
        <f>IF(AQ571="2",BH571,0)</f>
        <v>0</v>
      </c>
      <c r="AG571" s="83">
        <f>IF(AQ571="2",BI571,0)</f>
        <v>0</v>
      </c>
      <c r="AH571" s="83">
        <f>IF(AQ571="0",BJ571,0)</f>
        <v>0</v>
      </c>
      <c r="AI571" s="72" t="s">
        <v>49</v>
      </c>
      <c r="AJ571" s="83">
        <f>IF(AN571=0,M571,0)</f>
        <v>0</v>
      </c>
      <c r="AK571" s="83">
        <f>IF(AN571=15,M571,0)</f>
        <v>0</v>
      </c>
      <c r="AL571" s="83">
        <f>IF(AN571=21,M571,0)</f>
        <v>0</v>
      </c>
      <c r="AN571" s="83">
        <v>21</v>
      </c>
      <c r="AO571" s="83">
        <f>L571*1</f>
        <v>0</v>
      </c>
      <c r="AP571" s="83">
        <f>L571*(1-1)</f>
        <v>0</v>
      </c>
      <c r="AQ571" s="85" t="s">
        <v>52</v>
      </c>
      <c r="AV571" s="83">
        <f>AW571+AX571</f>
        <v>0</v>
      </c>
      <c r="AW571" s="83">
        <f>K571*AO571</f>
        <v>0</v>
      </c>
      <c r="AX571" s="83">
        <f>K571*AP571</f>
        <v>0</v>
      </c>
      <c r="AY571" s="85" t="s">
        <v>780</v>
      </c>
      <c r="AZ571" s="85" t="s">
        <v>781</v>
      </c>
      <c r="BA571" s="72" t="s">
        <v>58</v>
      </c>
      <c r="BC571" s="83">
        <f>AW571+AX571</f>
        <v>0</v>
      </c>
      <c r="BD571" s="83">
        <f>L571/(100-BE571)*100</f>
        <v>0</v>
      </c>
      <c r="BE571" s="83">
        <v>0</v>
      </c>
      <c r="BF571" s="83">
        <f>570</f>
        <v>570</v>
      </c>
      <c r="BH571" s="83">
        <f>K571*AO571</f>
        <v>0</v>
      </c>
      <c r="BI571" s="83">
        <f>K571*AP571</f>
        <v>0</v>
      </c>
      <c r="BJ571" s="83">
        <f>K571*L571</f>
        <v>0</v>
      </c>
      <c r="BK571" s="83"/>
      <c r="BL571" s="83">
        <v>91</v>
      </c>
    </row>
    <row r="572" spans="1:13" ht="15" customHeight="1">
      <c r="A572" s="86"/>
      <c r="C572" s="87" t="s">
        <v>156</v>
      </c>
      <c r="I572" s="87" t="s">
        <v>49</v>
      </c>
      <c r="K572" s="88">
        <v>17</v>
      </c>
      <c r="M572" s="89"/>
    </row>
    <row r="573" spans="1:13" ht="13.5" customHeight="1">
      <c r="A573" s="86"/>
      <c r="B573" s="90" t="s">
        <v>60</v>
      </c>
      <c r="C573" s="161" t="s">
        <v>930</v>
      </c>
      <c r="D573" s="162"/>
      <c r="E573" s="162"/>
      <c r="F573" s="162"/>
      <c r="G573" s="162"/>
      <c r="H573" s="162"/>
      <c r="I573" s="162"/>
      <c r="J573" s="162"/>
      <c r="K573" s="162"/>
      <c r="L573" s="162"/>
      <c r="M573" s="163"/>
    </row>
    <row r="574" spans="1:64" ht="15" customHeight="1">
      <c r="A574" s="65" t="s">
        <v>923</v>
      </c>
      <c r="B574" s="66" t="s">
        <v>932</v>
      </c>
      <c r="C574" s="150" t="s">
        <v>933</v>
      </c>
      <c r="D574" s="150"/>
      <c r="E574" s="150"/>
      <c r="F574" s="150"/>
      <c r="G574" s="150"/>
      <c r="H574" s="150"/>
      <c r="I574" s="150"/>
      <c r="J574" s="66" t="s">
        <v>55</v>
      </c>
      <c r="K574" s="83">
        <v>4</v>
      </c>
      <c r="L574" s="108"/>
      <c r="M574" s="84">
        <f>K574*L574</f>
        <v>0</v>
      </c>
      <c r="Z574" s="83">
        <f>IF(AQ574="5",BJ574,0)</f>
        <v>0</v>
      </c>
      <c r="AB574" s="83">
        <f>IF(AQ574="1",BH574,0)</f>
        <v>0</v>
      </c>
      <c r="AC574" s="83">
        <f>IF(AQ574="1",BI574,0)</f>
        <v>0</v>
      </c>
      <c r="AD574" s="83">
        <f>IF(AQ574="7",BH574,0)</f>
        <v>0</v>
      </c>
      <c r="AE574" s="83">
        <f>IF(AQ574="7",BI574,0)</f>
        <v>0</v>
      </c>
      <c r="AF574" s="83">
        <f>IF(AQ574="2",BH574,0)</f>
        <v>0</v>
      </c>
      <c r="AG574" s="83">
        <f>IF(AQ574="2",BI574,0)</f>
        <v>0</v>
      </c>
      <c r="AH574" s="83">
        <f>IF(AQ574="0",BJ574,0)</f>
        <v>0</v>
      </c>
      <c r="AI574" s="72" t="s">
        <v>49</v>
      </c>
      <c r="AJ574" s="83">
        <f>IF(AN574=0,M574,0)</f>
        <v>0</v>
      </c>
      <c r="AK574" s="83">
        <f>IF(AN574=15,M574,0)</f>
        <v>0</v>
      </c>
      <c r="AL574" s="83">
        <f>IF(AN574=21,M574,0)</f>
        <v>0</v>
      </c>
      <c r="AN574" s="83">
        <v>21</v>
      </c>
      <c r="AO574" s="83">
        <f>L574*0.513107049608355</f>
        <v>0</v>
      </c>
      <c r="AP574" s="83">
        <f>L574*(1-0.513107049608355)</f>
        <v>0</v>
      </c>
      <c r="AQ574" s="85" t="s">
        <v>52</v>
      </c>
      <c r="AV574" s="83">
        <f>AW574+AX574</f>
        <v>0</v>
      </c>
      <c r="AW574" s="83">
        <f>K574*AO574</f>
        <v>0</v>
      </c>
      <c r="AX574" s="83">
        <f>K574*AP574</f>
        <v>0</v>
      </c>
      <c r="AY574" s="85" t="s">
        <v>780</v>
      </c>
      <c r="AZ574" s="85" t="s">
        <v>781</v>
      </c>
      <c r="BA574" s="72" t="s">
        <v>58</v>
      </c>
      <c r="BC574" s="83">
        <f>AW574+AX574</f>
        <v>0</v>
      </c>
      <c r="BD574" s="83">
        <f>L574/(100-BE574)*100</f>
        <v>0</v>
      </c>
      <c r="BE574" s="83">
        <v>0</v>
      </c>
      <c r="BF574" s="83">
        <f>573</f>
        <v>573</v>
      </c>
      <c r="BH574" s="83">
        <f>K574*AO574</f>
        <v>0</v>
      </c>
      <c r="BI574" s="83">
        <f>K574*AP574</f>
        <v>0</v>
      </c>
      <c r="BJ574" s="83">
        <f>K574*L574</f>
        <v>0</v>
      </c>
      <c r="BK574" s="83"/>
      <c r="BL574" s="83">
        <v>91</v>
      </c>
    </row>
    <row r="575" spans="1:13" ht="15" customHeight="1">
      <c r="A575" s="86"/>
      <c r="C575" s="87" t="s">
        <v>68</v>
      </c>
      <c r="I575" s="87" t="s">
        <v>49</v>
      </c>
      <c r="K575" s="88">
        <v>4</v>
      </c>
      <c r="M575" s="89"/>
    </row>
    <row r="576" spans="1:13" ht="13.5" customHeight="1">
      <c r="A576" s="86"/>
      <c r="B576" s="90" t="s">
        <v>60</v>
      </c>
      <c r="C576" s="161" t="s">
        <v>934</v>
      </c>
      <c r="D576" s="162"/>
      <c r="E576" s="162"/>
      <c r="F576" s="162"/>
      <c r="G576" s="162"/>
      <c r="H576" s="162"/>
      <c r="I576" s="162"/>
      <c r="J576" s="162"/>
      <c r="K576" s="162"/>
      <c r="L576" s="162"/>
      <c r="M576" s="163"/>
    </row>
    <row r="577" spans="1:64" ht="15" customHeight="1">
      <c r="A577" s="65" t="s">
        <v>927</v>
      </c>
      <c r="B577" s="66" t="s">
        <v>936</v>
      </c>
      <c r="C577" s="150" t="s">
        <v>937</v>
      </c>
      <c r="D577" s="150"/>
      <c r="E577" s="150"/>
      <c r="F577" s="150"/>
      <c r="G577" s="150"/>
      <c r="H577" s="150"/>
      <c r="I577" s="150"/>
      <c r="J577" s="66" t="s">
        <v>55</v>
      </c>
      <c r="K577" s="83">
        <v>19</v>
      </c>
      <c r="L577" s="108"/>
      <c r="M577" s="84">
        <f>K577*L577</f>
        <v>0</v>
      </c>
      <c r="Z577" s="83">
        <f>IF(AQ577="5",BJ577,0)</f>
        <v>0</v>
      </c>
      <c r="AB577" s="83">
        <f>IF(AQ577="1",BH577,0)</f>
        <v>0</v>
      </c>
      <c r="AC577" s="83">
        <f>IF(AQ577="1",BI577,0)</f>
        <v>0</v>
      </c>
      <c r="AD577" s="83">
        <f>IF(AQ577="7",BH577,0)</f>
        <v>0</v>
      </c>
      <c r="AE577" s="83">
        <f>IF(AQ577="7",BI577,0)</f>
        <v>0</v>
      </c>
      <c r="AF577" s="83">
        <f>IF(AQ577="2",BH577,0)</f>
        <v>0</v>
      </c>
      <c r="AG577" s="83">
        <f>IF(AQ577="2",BI577,0)</f>
        <v>0</v>
      </c>
      <c r="AH577" s="83">
        <f>IF(AQ577="0",BJ577,0)</f>
        <v>0</v>
      </c>
      <c r="AI577" s="72" t="s">
        <v>49</v>
      </c>
      <c r="AJ577" s="83">
        <f>IF(AN577=0,M577,0)</f>
        <v>0</v>
      </c>
      <c r="AK577" s="83">
        <f>IF(AN577=15,M577,0)</f>
        <v>0</v>
      </c>
      <c r="AL577" s="83">
        <f>IF(AN577=21,M577,0)</f>
        <v>0</v>
      </c>
      <c r="AN577" s="83">
        <v>21</v>
      </c>
      <c r="AO577" s="83">
        <f>L577*0.707252747252747</f>
        <v>0</v>
      </c>
      <c r="AP577" s="83">
        <f>L577*(1-0.707252747252747)</f>
        <v>0</v>
      </c>
      <c r="AQ577" s="85" t="s">
        <v>52</v>
      </c>
      <c r="AV577" s="83">
        <f>AW577+AX577</f>
        <v>0</v>
      </c>
      <c r="AW577" s="83">
        <f>K577*AO577</f>
        <v>0</v>
      </c>
      <c r="AX577" s="83">
        <f>K577*AP577</f>
        <v>0</v>
      </c>
      <c r="AY577" s="85" t="s">
        <v>780</v>
      </c>
      <c r="AZ577" s="85" t="s">
        <v>781</v>
      </c>
      <c r="BA577" s="72" t="s">
        <v>58</v>
      </c>
      <c r="BC577" s="83">
        <f>AW577+AX577</f>
        <v>0</v>
      </c>
      <c r="BD577" s="83">
        <f>L577/(100-BE577)*100</f>
        <v>0</v>
      </c>
      <c r="BE577" s="83">
        <v>0</v>
      </c>
      <c r="BF577" s="83">
        <f>576</f>
        <v>576</v>
      </c>
      <c r="BH577" s="83">
        <f>K577*AO577</f>
        <v>0</v>
      </c>
      <c r="BI577" s="83">
        <f>K577*AP577</f>
        <v>0</v>
      </c>
      <c r="BJ577" s="83">
        <f>K577*L577</f>
        <v>0</v>
      </c>
      <c r="BK577" s="83"/>
      <c r="BL577" s="83">
        <v>91</v>
      </c>
    </row>
    <row r="578" spans="1:13" ht="15" customHeight="1">
      <c r="A578" s="86"/>
      <c r="C578" s="87" t="s">
        <v>166</v>
      </c>
      <c r="I578" s="87" t="s">
        <v>49</v>
      </c>
      <c r="K578" s="88">
        <v>19</v>
      </c>
      <c r="M578" s="89"/>
    </row>
    <row r="579" spans="1:13" ht="13.5" customHeight="1">
      <c r="A579" s="86"/>
      <c r="B579" s="90" t="s">
        <v>60</v>
      </c>
      <c r="C579" s="161" t="s">
        <v>934</v>
      </c>
      <c r="D579" s="162"/>
      <c r="E579" s="162"/>
      <c r="F579" s="162"/>
      <c r="G579" s="162"/>
      <c r="H579" s="162"/>
      <c r="I579" s="162"/>
      <c r="J579" s="162"/>
      <c r="K579" s="162"/>
      <c r="L579" s="162"/>
      <c r="M579" s="163"/>
    </row>
    <row r="580" spans="1:47" ht="15" customHeight="1">
      <c r="A580" s="78" t="s">
        <v>49</v>
      </c>
      <c r="B580" s="79" t="s">
        <v>95</v>
      </c>
      <c r="C580" s="168" t="s">
        <v>938</v>
      </c>
      <c r="D580" s="168"/>
      <c r="E580" s="168"/>
      <c r="F580" s="168"/>
      <c r="G580" s="168"/>
      <c r="H580" s="168"/>
      <c r="I580" s="168"/>
      <c r="J580" s="80" t="s">
        <v>3</v>
      </c>
      <c r="K580" s="80" t="s">
        <v>3</v>
      </c>
      <c r="L580" s="80" t="s">
        <v>3</v>
      </c>
      <c r="M580" s="81">
        <f>SUM(M581:M590)</f>
        <v>0</v>
      </c>
      <c r="AI580" s="72" t="s">
        <v>49</v>
      </c>
      <c r="AS580" s="82">
        <f>SUM(AJ581:AJ590)</f>
        <v>0</v>
      </c>
      <c r="AT580" s="82">
        <f>SUM(AK581:AK590)</f>
        <v>0</v>
      </c>
      <c r="AU580" s="82">
        <f>SUM(AL581:AL590)</f>
        <v>0</v>
      </c>
    </row>
    <row r="581" spans="1:64" ht="15" customHeight="1">
      <c r="A581" s="65" t="s">
        <v>931</v>
      </c>
      <c r="B581" s="66" t="s">
        <v>940</v>
      </c>
      <c r="C581" s="150" t="s">
        <v>941</v>
      </c>
      <c r="D581" s="150"/>
      <c r="E581" s="150"/>
      <c r="F581" s="150"/>
      <c r="G581" s="150"/>
      <c r="H581" s="150"/>
      <c r="I581" s="150"/>
      <c r="J581" s="66" t="s">
        <v>226</v>
      </c>
      <c r="K581" s="83">
        <v>1</v>
      </c>
      <c r="L581" s="108"/>
      <c r="M581" s="84">
        <f>K581*L581</f>
        <v>0</v>
      </c>
      <c r="Z581" s="83">
        <f>IF(AQ581="5",BJ581,0)</f>
        <v>0</v>
      </c>
      <c r="AB581" s="83">
        <f>IF(AQ581="1",BH581,0)</f>
        <v>0</v>
      </c>
      <c r="AC581" s="83">
        <f>IF(AQ581="1",BI581,0)</f>
        <v>0</v>
      </c>
      <c r="AD581" s="83">
        <f>IF(AQ581="7",BH581,0)</f>
        <v>0</v>
      </c>
      <c r="AE581" s="83">
        <f>IF(AQ581="7",BI581,0)</f>
        <v>0</v>
      </c>
      <c r="AF581" s="83">
        <f>IF(AQ581="2",BH581,0)</f>
        <v>0</v>
      </c>
      <c r="AG581" s="83">
        <f>IF(AQ581="2",BI581,0)</f>
        <v>0</v>
      </c>
      <c r="AH581" s="83">
        <f>IF(AQ581="0",BJ581,0)</f>
        <v>0</v>
      </c>
      <c r="AI581" s="72" t="s">
        <v>49</v>
      </c>
      <c r="AJ581" s="83">
        <f>IF(AN581=0,M581,0)</f>
        <v>0</v>
      </c>
      <c r="AK581" s="83">
        <f>IF(AN581=15,M581,0)</f>
        <v>0</v>
      </c>
      <c r="AL581" s="83">
        <f>IF(AN581=21,M581,0)</f>
        <v>0</v>
      </c>
      <c r="AN581" s="83">
        <v>21</v>
      </c>
      <c r="AO581" s="83">
        <f>L581*0.0212158647594278</f>
        <v>0</v>
      </c>
      <c r="AP581" s="83">
        <f>L581*(1-0.0212158647594278)</f>
        <v>0</v>
      </c>
      <c r="AQ581" s="85" t="s">
        <v>52</v>
      </c>
      <c r="AV581" s="83">
        <f>AW581+AX581</f>
        <v>0</v>
      </c>
      <c r="AW581" s="83">
        <f>K581*AO581</f>
        <v>0</v>
      </c>
      <c r="AX581" s="83">
        <f>K581*AP581</f>
        <v>0</v>
      </c>
      <c r="AY581" s="85" t="s">
        <v>942</v>
      </c>
      <c r="AZ581" s="85" t="s">
        <v>781</v>
      </c>
      <c r="BA581" s="72" t="s">
        <v>58</v>
      </c>
      <c r="BC581" s="83">
        <f>AW581+AX581</f>
        <v>0</v>
      </c>
      <c r="BD581" s="83">
        <f>L581/(100-BE581)*100</f>
        <v>0</v>
      </c>
      <c r="BE581" s="83">
        <v>0</v>
      </c>
      <c r="BF581" s="83">
        <f>580</f>
        <v>580</v>
      </c>
      <c r="BH581" s="83">
        <f>K581*AO581</f>
        <v>0</v>
      </c>
      <c r="BI581" s="83">
        <f>K581*AP581</f>
        <v>0</v>
      </c>
      <c r="BJ581" s="83">
        <f>K581*L581</f>
        <v>0</v>
      </c>
      <c r="BK581" s="83"/>
      <c r="BL581" s="83">
        <v>96</v>
      </c>
    </row>
    <row r="582" spans="1:13" ht="15" customHeight="1">
      <c r="A582" s="86"/>
      <c r="C582" s="87" t="s">
        <v>52</v>
      </c>
      <c r="I582" s="87" t="s">
        <v>943</v>
      </c>
      <c r="K582" s="88">
        <v>1</v>
      </c>
      <c r="M582" s="89"/>
    </row>
    <row r="583" spans="1:13" ht="13.5" customHeight="1">
      <c r="A583" s="86"/>
      <c r="B583" s="90" t="s">
        <v>60</v>
      </c>
      <c r="C583" s="161" t="s">
        <v>944</v>
      </c>
      <c r="D583" s="162"/>
      <c r="E583" s="162"/>
      <c r="F583" s="162"/>
      <c r="G583" s="162"/>
      <c r="H583" s="162"/>
      <c r="I583" s="162"/>
      <c r="J583" s="162"/>
      <c r="K583" s="162"/>
      <c r="L583" s="162"/>
      <c r="M583" s="163"/>
    </row>
    <row r="584" spans="1:64" ht="15" customHeight="1">
      <c r="A584" s="65" t="s">
        <v>935</v>
      </c>
      <c r="B584" s="66" t="s">
        <v>946</v>
      </c>
      <c r="C584" s="150" t="s">
        <v>947</v>
      </c>
      <c r="D584" s="150"/>
      <c r="E584" s="150"/>
      <c r="F584" s="150"/>
      <c r="G584" s="150"/>
      <c r="H584" s="150"/>
      <c r="I584" s="150"/>
      <c r="J584" s="66" t="s">
        <v>79</v>
      </c>
      <c r="K584" s="83">
        <v>19</v>
      </c>
      <c r="L584" s="108"/>
      <c r="M584" s="84">
        <f>K584*L584</f>
        <v>0</v>
      </c>
      <c r="Z584" s="83">
        <f>IF(AQ584="5",BJ584,0)</f>
        <v>0</v>
      </c>
      <c r="AB584" s="83">
        <f>IF(AQ584="1",BH584,0)</f>
        <v>0</v>
      </c>
      <c r="AC584" s="83">
        <f>IF(AQ584="1",BI584,0)</f>
        <v>0</v>
      </c>
      <c r="AD584" s="83">
        <f>IF(AQ584="7",BH584,0)</f>
        <v>0</v>
      </c>
      <c r="AE584" s="83">
        <f>IF(AQ584="7",BI584,0)</f>
        <v>0</v>
      </c>
      <c r="AF584" s="83">
        <f>IF(AQ584="2",BH584,0)</f>
        <v>0</v>
      </c>
      <c r="AG584" s="83">
        <f>IF(AQ584="2",BI584,0)</f>
        <v>0</v>
      </c>
      <c r="AH584" s="83">
        <f>IF(AQ584="0",BJ584,0)</f>
        <v>0</v>
      </c>
      <c r="AI584" s="72" t="s">
        <v>49</v>
      </c>
      <c r="AJ584" s="83">
        <f>IF(AN584=0,M584,0)</f>
        <v>0</v>
      </c>
      <c r="AK584" s="83">
        <f>IF(AN584=15,M584,0)</f>
        <v>0</v>
      </c>
      <c r="AL584" s="83">
        <f>IF(AN584=21,M584,0)</f>
        <v>0</v>
      </c>
      <c r="AN584" s="83">
        <v>21</v>
      </c>
      <c r="AO584" s="83">
        <f>L584*0.0263133333333333</f>
        <v>0</v>
      </c>
      <c r="AP584" s="83">
        <f>L584*(1-0.0263133333333333)</f>
        <v>0</v>
      </c>
      <c r="AQ584" s="85" t="s">
        <v>52</v>
      </c>
      <c r="AV584" s="83">
        <f>AW584+AX584</f>
        <v>0</v>
      </c>
      <c r="AW584" s="83">
        <f>K584*AO584</f>
        <v>0</v>
      </c>
      <c r="AX584" s="83">
        <f>K584*AP584</f>
        <v>0</v>
      </c>
      <c r="AY584" s="85" t="s">
        <v>942</v>
      </c>
      <c r="AZ584" s="85" t="s">
        <v>781</v>
      </c>
      <c r="BA584" s="72" t="s">
        <v>58</v>
      </c>
      <c r="BC584" s="83">
        <f>AW584+AX584</f>
        <v>0</v>
      </c>
      <c r="BD584" s="83">
        <f>L584/(100-BE584)*100</f>
        <v>0</v>
      </c>
      <c r="BE584" s="83">
        <v>0</v>
      </c>
      <c r="BF584" s="83">
        <f>583</f>
        <v>583</v>
      </c>
      <c r="BH584" s="83">
        <f>K584*AO584</f>
        <v>0</v>
      </c>
      <c r="BI584" s="83">
        <f>K584*AP584</f>
        <v>0</v>
      </c>
      <c r="BJ584" s="83">
        <f>K584*L584</f>
        <v>0</v>
      </c>
      <c r="BK584" s="83"/>
      <c r="BL584" s="83">
        <v>96</v>
      </c>
    </row>
    <row r="585" spans="1:13" ht="15" customHeight="1">
      <c r="A585" s="86"/>
      <c r="C585" s="87" t="s">
        <v>166</v>
      </c>
      <c r="I585" s="87" t="s">
        <v>948</v>
      </c>
      <c r="K585" s="88">
        <v>19</v>
      </c>
      <c r="M585" s="89"/>
    </row>
    <row r="586" spans="1:64" ht="15" customHeight="1">
      <c r="A586" s="65" t="s">
        <v>939</v>
      </c>
      <c r="B586" s="66" t="s">
        <v>950</v>
      </c>
      <c r="C586" s="150" t="s">
        <v>951</v>
      </c>
      <c r="D586" s="150"/>
      <c r="E586" s="150"/>
      <c r="F586" s="150"/>
      <c r="G586" s="150"/>
      <c r="H586" s="150"/>
      <c r="I586" s="150"/>
      <c r="J586" s="66" t="s">
        <v>55</v>
      </c>
      <c r="K586" s="83">
        <v>8</v>
      </c>
      <c r="L586" s="108"/>
      <c r="M586" s="84">
        <f>K586*L586</f>
        <v>0</v>
      </c>
      <c r="Z586" s="83">
        <f>IF(AQ586="5",BJ586,0)</f>
        <v>0</v>
      </c>
      <c r="AB586" s="83">
        <f>IF(AQ586="1",BH586,0)</f>
        <v>0</v>
      </c>
      <c r="AC586" s="83">
        <f>IF(AQ586="1",BI586,0)</f>
        <v>0</v>
      </c>
      <c r="AD586" s="83">
        <f>IF(AQ586="7",BH586,0)</f>
        <v>0</v>
      </c>
      <c r="AE586" s="83">
        <f>IF(AQ586="7",BI586,0)</f>
        <v>0</v>
      </c>
      <c r="AF586" s="83">
        <f>IF(AQ586="2",BH586,0)</f>
        <v>0</v>
      </c>
      <c r="AG586" s="83">
        <f>IF(AQ586="2",BI586,0)</f>
        <v>0</v>
      </c>
      <c r="AH586" s="83">
        <f>IF(AQ586="0",BJ586,0)</f>
        <v>0</v>
      </c>
      <c r="AI586" s="72" t="s">
        <v>49</v>
      </c>
      <c r="AJ586" s="83">
        <f>IF(AN586=0,M586,0)</f>
        <v>0</v>
      </c>
      <c r="AK586" s="83">
        <f>IF(AN586=15,M586,0)</f>
        <v>0</v>
      </c>
      <c r="AL586" s="83">
        <f>IF(AN586=21,M586,0)</f>
        <v>0</v>
      </c>
      <c r="AN586" s="83">
        <v>21</v>
      </c>
      <c r="AO586" s="83">
        <f>L586*0.0490143170058093</f>
        <v>0</v>
      </c>
      <c r="AP586" s="83">
        <f>L586*(1-0.0490143170058093)</f>
        <v>0</v>
      </c>
      <c r="AQ586" s="85" t="s">
        <v>52</v>
      </c>
      <c r="AV586" s="83">
        <f>AW586+AX586</f>
        <v>0</v>
      </c>
      <c r="AW586" s="83">
        <f>K586*AO586</f>
        <v>0</v>
      </c>
      <c r="AX586" s="83">
        <f>K586*AP586</f>
        <v>0</v>
      </c>
      <c r="AY586" s="85" t="s">
        <v>942</v>
      </c>
      <c r="AZ586" s="85" t="s">
        <v>781</v>
      </c>
      <c r="BA586" s="72" t="s">
        <v>58</v>
      </c>
      <c r="BC586" s="83">
        <f>AW586+AX586</f>
        <v>0</v>
      </c>
      <c r="BD586" s="83">
        <f>L586/(100-BE586)*100</f>
        <v>0</v>
      </c>
      <c r="BE586" s="83">
        <v>0</v>
      </c>
      <c r="BF586" s="83">
        <f>585</f>
        <v>585</v>
      </c>
      <c r="BH586" s="83">
        <f>K586*AO586</f>
        <v>0</v>
      </c>
      <c r="BI586" s="83">
        <f>K586*AP586</f>
        <v>0</v>
      </c>
      <c r="BJ586" s="83">
        <f>K586*L586</f>
        <v>0</v>
      </c>
      <c r="BK586" s="83"/>
      <c r="BL586" s="83">
        <v>96</v>
      </c>
    </row>
    <row r="587" spans="1:13" ht="15" customHeight="1">
      <c r="A587" s="86"/>
      <c r="C587" s="87" t="s">
        <v>73</v>
      </c>
      <c r="I587" s="87" t="s">
        <v>420</v>
      </c>
      <c r="K587" s="88">
        <v>5</v>
      </c>
      <c r="M587" s="89"/>
    </row>
    <row r="588" spans="1:13" ht="15" customHeight="1">
      <c r="A588" s="86"/>
      <c r="C588" s="87" t="s">
        <v>52</v>
      </c>
      <c r="I588" s="87" t="s">
        <v>952</v>
      </c>
      <c r="K588" s="88">
        <v>1</v>
      </c>
      <c r="M588" s="89"/>
    </row>
    <row r="589" spans="1:13" ht="15" customHeight="1">
      <c r="A589" s="86"/>
      <c r="C589" s="87" t="s">
        <v>62</v>
      </c>
      <c r="I589" s="87" t="s">
        <v>953</v>
      </c>
      <c r="K589" s="88">
        <v>2</v>
      </c>
      <c r="M589" s="89"/>
    </row>
    <row r="590" spans="1:64" ht="15" customHeight="1">
      <c r="A590" s="65" t="s">
        <v>945</v>
      </c>
      <c r="B590" s="66" t="s">
        <v>955</v>
      </c>
      <c r="C590" s="150" t="s">
        <v>956</v>
      </c>
      <c r="D590" s="150"/>
      <c r="E590" s="150"/>
      <c r="F590" s="150"/>
      <c r="G590" s="150"/>
      <c r="H590" s="150"/>
      <c r="I590" s="150"/>
      <c r="J590" s="66" t="s">
        <v>55</v>
      </c>
      <c r="K590" s="83">
        <v>18</v>
      </c>
      <c r="L590" s="108"/>
      <c r="M590" s="84">
        <f>K590*L590</f>
        <v>0</v>
      </c>
      <c r="Z590" s="83">
        <f>IF(AQ590="5",BJ590,0)</f>
        <v>0</v>
      </c>
      <c r="AB590" s="83">
        <f>IF(AQ590="1",BH590,0)</f>
        <v>0</v>
      </c>
      <c r="AC590" s="83">
        <f>IF(AQ590="1",BI590,0)</f>
        <v>0</v>
      </c>
      <c r="AD590" s="83">
        <f>IF(AQ590="7",BH590,0)</f>
        <v>0</v>
      </c>
      <c r="AE590" s="83">
        <f>IF(AQ590="7",BI590,0)</f>
        <v>0</v>
      </c>
      <c r="AF590" s="83">
        <f>IF(AQ590="2",BH590,0)</f>
        <v>0</v>
      </c>
      <c r="AG590" s="83">
        <f>IF(AQ590="2",BI590,0)</f>
        <v>0</v>
      </c>
      <c r="AH590" s="83">
        <f>IF(AQ590="0",BJ590,0)</f>
        <v>0</v>
      </c>
      <c r="AI590" s="72" t="s">
        <v>49</v>
      </c>
      <c r="AJ590" s="83">
        <f>IF(AN590=0,M590,0)</f>
        <v>0</v>
      </c>
      <c r="AK590" s="83">
        <f>IF(AN590=15,M590,0)</f>
        <v>0</v>
      </c>
      <c r="AL590" s="83">
        <f>IF(AN590=21,M590,0)</f>
        <v>0</v>
      </c>
      <c r="AN590" s="83">
        <v>21</v>
      </c>
      <c r="AO590" s="83">
        <f>L590*0</f>
        <v>0</v>
      </c>
      <c r="AP590" s="83">
        <f>L590*(1-0)</f>
        <v>0</v>
      </c>
      <c r="AQ590" s="85" t="s">
        <v>52</v>
      </c>
      <c r="AV590" s="83">
        <f>AW590+AX590</f>
        <v>0</v>
      </c>
      <c r="AW590" s="83">
        <f>K590*AO590</f>
        <v>0</v>
      </c>
      <c r="AX590" s="83">
        <f>K590*AP590</f>
        <v>0</v>
      </c>
      <c r="AY590" s="85" t="s">
        <v>942</v>
      </c>
      <c r="AZ590" s="85" t="s">
        <v>781</v>
      </c>
      <c r="BA590" s="72" t="s">
        <v>58</v>
      </c>
      <c r="BC590" s="83">
        <f>AW590+AX590</f>
        <v>0</v>
      </c>
      <c r="BD590" s="83">
        <f>L590/(100-BE590)*100</f>
        <v>0</v>
      </c>
      <c r="BE590" s="83">
        <v>0</v>
      </c>
      <c r="BF590" s="83">
        <f>589</f>
        <v>589</v>
      </c>
      <c r="BH590" s="83">
        <f>K590*AO590</f>
        <v>0</v>
      </c>
      <c r="BI590" s="83">
        <f>K590*AP590</f>
        <v>0</v>
      </c>
      <c r="BJ590" s="83">
        <f>K590*L590</f>
        <v>0</v>
      </c>
      <c r="BK590" s="83"/>
      <c r="BL590" s="83">
        <v>96</v>
      </c>
    </row>
    <row r="591" spans="1:13" ht="15" customHeight="1">
      <c r="A591" s="86"/>
      <c r="C591" s="87" t="s">
        <v>161</v>
      </c>
      <c r="I591" s="87" t="s">
        <v>49</v>
      </c>
      <c r="K591" s="88">
        <v>18</v>
      </c>
      <c r="M591" s="89"/>
    </row>
    <row r="592" spans="1:47" ht="15" customHeight="1">
      <c r="A592" s="78" t="s">
        <v>49</v>
      </c>
      <c r="B592" s="79" t="s">
        <v>128</v>
      </c>
      <c r="C592" s="168" t="s">
        <v>957</v>
      </c>
      <c r="D592" s="168"/>
      <c r="E592" s="168"/>
      <c r="F592" s="168"/>
      <c r="G592" s="168"/>
      <c r="H592" s="168"/>
      <c r="I592" s="168"/>
      <c r="J592" s="80" t="s">
        <v>3</v>
      </c>
      <c r="K592" s="80" t="s">
        <v>3</v>
      </c>
      <c r="L592" s="80" t="s">
        <v>3</v>
      </c>
      <c r="M592" s="81">
        <f>SUM(M593:M606)</f>
        <v>0</v>
      </c>
      <c r="AI592" s="72" t="s">
        <v>49</v>
      </c>
      <c r="AS592" s="82">
        <f>SUM(AJ593:AJ606)</f>
        <v>0</v>
      </c>
      <c r="AT592" s="82">
        <f>SUM(AK593:AK606)</f>
        <v>0</v>
      </c>
      <c r="AU592" s="82">
        <f>SUM(AL593:AL606)</f>
        <v>0</v>
      </c>
    </row>
    <row r="593" spans="1:64" ht="15" customHeight="1">
      <c r="A593" s="65" t="s">
        <v>949</v>
      </c>
      <c r="B593" s="66" t="s">
        <v>959</v>
      </c>
      <c r="C593" s="150" t="s">
        <v>960</v>
      </c>
      <c r="D593" s="150"/>
      <c r="E593" s="150"/>
      <c r="F593" s="150"/>
      <c r="G593" s="150"/>
      <c r="H593" s="150"/>
      <c r="I593" s="150"/>
      <c r="J593" s="66" t="s">
        <v>79</v>
      </c>
      <c r="K593" s="83">
        <v>350.7</v>
      </c>
      <c r="L593" s="108"/>
      <c r="M593" s="84">
        <f>K593*L593</f>
        <v>0</v>
      </c>
      <c r="Z593" s="83">
        <f>IF(AQ593="5",BJ593,0)</f>
        <v>0</v>
      </c>
      <c r="AB593" s="83">
        <f>IF(AQ593="1",BH593,0)</f>
        <v>0</v>
      </c>
      <c r="AC593" s="83">
        <f>IF(AQ593="1",BI593,0)</f>
        <v>0</v>
      </c>
      <c r="AD593" s="83">
        <f>IF(AQ593="7",BH593,0)</f>
        <v>0</v>
      </c>
      <c r="AE593" s="83">
        <f>IF(AQ593="7",BI593,0)</f>
        <v>0</v>
      </c>
      <c r="AF593" s="83">
        <f>IF(AQ593="2",BH593,0)</f>
        <v>0</v>
      </c>
      <c r="AG593" s="83">
        <f>IF(AQ593="2",BI593,0)</f>
        <v>0</v>
      </c>
      <c r="AH593" s="83">
        <f>IF(AQ593="0",BJ593,0)</f>
        <v>0</v>
      </c>
      <c r="AI593" s="72" t="s">
        <v>49</v>
      </c>
      <c r="AJ593" s="83">
        <f>IF(AN593=0,M593,0)</f>
        <v>0</v>
      </c>
      <c r="AK593" s="83">
        <f>IF(AN593=15,M593,0)</f>
        <v>0</v>
      </c>
      <c r="AL593" s="83">
        <f>IF(AN593=21,M593,0)</f>
        <v>0</v>
      </c>
      <c r="AN593" s="83">
        <v>21</v>
      </c>
      <c r="AO593" s="83">
        <f>L593*0</f>
        <v>0</v>
      </c>
      <c r="AP593" s="83">
        <f>L593*(1-0)</f>
        <v>0</v>
      </c>
      <c r="AQ593" s="85" t="s">
        <v>52</v>
      </c>
      <c r="AV593" s="83">
        <f>AW593+AX593</f>
        <v>0</v>
      </c>
      <c r="AW593" s="83">
        <f>K593*AO593</f>
        <v>0</v>
      </c>
      <c r="AX593" s="83">
        <f>K593*AP593</f>
        <v>0</v>
      </c>
      <c r="AY593" s="85" t="s">
        <v>961</v>
      </c>
      <c r="AZ593" s="85" t="s">
        <v>781</v>
      </c>
      <c r="BA593" s="72" t="s">
        <v>58</v>
      </c>
      <c r="BC593" s="83">
        <f>AW593+AX593</f>
        <v>0</v>
      </c>
      <c r="BD593" s="83">
        <f>L593/(100-BE593)*100</f>
        <v>0</v>
      </c>
      <c r="BE593" s="83">
        <v>0</v>
      </c>
      <c r="BF593" s="83">
        <f>592</f>
        <v>592</v>
      </c>
      <c r="BH593" s="83">
        <f>K593*AO593</f>
        <v>0</v>
      </c>
      <c r="BI593" s="83">
        <f>K593*AP593</f>
        <v>0</v>
      </c>
      <c r="BJ593" s="83">
        <f>K593*L593</f>
        <v>0</v>
      </c>
      <c r="BK593" s="83"/>
      <c r="BL593" s="83">
        <v>97</v>
      </c>
    </row>
    <row r="594" spans="1:13" ht="15" customHeight="1">
      <c r="A594" s="86"/>
      <c r="C594" s="87" t="s">
        <v>119</v>
      </c>
      <c r="I594" s="87" t="s">
        <v>962</v>
      </c>
      <c r="K594" s="88">
        <v>350.70000000000005</v>
      </c>
      <c r="M594" s="89"/>
    </row>
    <row r="595" spans="1:64" ht="15" customHeight="1">
      <c r="A595" s="65" t="s">
        <v>954</v>
      </c>
      <c r="B595" s="66" t="s">
        <v>964</v>
      </c>
      <c r="C595" s="150" t="s">
        <v>965</v>
      </c>
      <c r="D595" s="150"/>
      <c r="E595" s="150"/>
      <c r="F595" s="150"/>
      <c r="G595" s="150"/>
      <c r="H595" s="150"/>
      <c r="I595" s="150"/>
      <c r="J595" s="66" t="s">
        <v>79</v>
      </c>
      <c r="K595" s="83">
        <v>61.67</v>
      </c>
      <c r="L595" s="108"/>
      <c r="M595" s="84">
        <f>K595*L595</f>
        <v>0</v>
      </c>
      <c r="Z595" s="83">
        <f>IF(AQ595="5",BJ595,0)</f>
        <v>0</v>
      </c>
      <c r="AB595" s="83">
        <f>IF(AQ595="1",BH595,0)</f>
        <v>0</v>
      </c>
      <c r="AC595" s="83">
        <f>IF(AQ595="1",BI595,0)</f>
        <v>0</v>
      </c>
      <c r="AD595" s="83">
        <f>IF(AQ595="7",BH595,0)</f>
        <v>0</v>
      </c>
      <c r="AE595" s="83">
        <f>IF(AQ595="7",BI595,0)</f>
        <v>0</v>
      </c>
      <c r="AF595" s="83">
        <f>IF(AQ595="2",BH595,0)</f>
        <v>0</v>
      </c>
      <c r="AG595" s="83">
        <f>IF(AQ595="2",BI595,0)</f>
        <v>0</v>
      </c>
      <c r="AH595" s="83">
        <f>IF(AQ595="0",BJ595,0)</f>
        <v>0</v>
      </c>
      <c r="AI595" s="72" t="s">
        <v>49</v>
      </c>
      <c r="AJ595" s="83">
        <f>IF(AN595=0,M595,0)</f>
        <v>0</v>
      </c>
      <c r="AK595" s="83">
        <f>IF(AN595=15,M595,0)</f>
        <v>0</v>
      </c>
      <c r="AL595" s="83">
        <f>IF(AN595=21,M595,0)</f>
        <v>0</v>
      </c>
      <c r="AN595" s="83">
        <v>21</v>
      </c>
      <c r="AO595" s="83">
        <f>L595*0</f>
        <v>0</v>
      </c>
      <c r="AP595" s="83">
        <f>L595*(1-0)</f>
        <v>0</v>
      </c>
      <c r="AQ595" s="85" t="s">
        <v>52</v>
      </c>
      <c r="AV595" s="83">
        <f>AW595+AX595</f>
        <v>0</v>
      </c>
      <c r="AW595" s="83">
        <f>K595*AO595</f>
        <v>0</v>
      </c>
      <c r="AX595" s="83">
        <f>K595*AP595</f>
        <v>0</v>
      </c>
      <c r="AY595" s="85" t="s">
        <v>961</v>
      </c>
      <c r="AZ595" s="85" t="s">
        <v>781</v>
      </c>
      <c r="BA595" s="72" t="s">
        <v>58</v>
      </c>
      <c r="BC595" s="83">
        <f>AW595+AX595</f>
        <v>0</v>
      </c>
      <c r="BD595" s="83">
        <f>L595/(100-BE595)*100</f>
        <v>0</v>
      </c>
      <c r="BE595" s="83">
        <v>0</v>
      </c>
      <c r="BF595" s="83">
        <f>594</f>
        <v>594</v>
      </c>
      <c r="BH595" s="83">
        <f>K595*AO595</f>
        <v>0</v>
      </c>
      <c r="BI595" s="83">
        <f>K595*AP595</f>
        <v>0</v>
      </c>
      <c r="BJ595" s="83">
        <f>K595*L595</f>
        <v>0</v>
      </c>
      <c r="BK595" s="83"/>
      <c r="BL595" s="83">
        <v>97</v>
      </c>
    </row>
    <row r="596" spans="1:13" ht="15" customHeight="1">
      <c r="A596" s="86"/>
      <c r="C596" s="87" t="s">
        <v>966</v>
      </c>
      <c r="I596" s="87" t="s">
        <v>967</v>
      </c>
      <c r="K596" s="88">
        <v>35.07</v>
      </c>
      <c r="M596" s="89"/>
    </row>
    <row r="597" spans="1:13" ht="15" customHeight="1">
      <c r="A597" s="86"/>
      <c r="C597" s="87" t="s">
        <v>968</v>
      </c>
      <c r="I597" s="87" t="s">
        <v>969</v>
      </c>
      <c r="K597" s="88">
        <v>26.6</v>
      </c>
      <c r="M597" s="89"/>
    </row>
    <row r="598" spans="1:64" ht="15" customHeight="1">
      <c r="A598" s="65" t="s">
        <v>958</v>
      </c>
      <c r="B598" s="66" t="s">
        <v>971</v>
      </c>
      <c r="C598" s="150" t="s">
        <v>972</v>
      </c>
      <c r="D598" s="150"/>
      <c r="E598" s="150"/>
      <c r="F598" s="150"/>
      <c r="G598" s="150"/>
      <c r="H598" s="150"/>
      <c r="I598" s="150"/>
      <c r="J598" s="66" t="s">
        <v>79</v>
      </c>
      <c r="K598" s="83">
        <v>295.2</v>
      </c>
      <c r="L598" s="108"/>
      <c r="M598" s="84">
        <f>K598*L598</f>
        <v>0</v>
      </c>
      <c r="Z598" s="83">
        <f>IF(AQ598="5",BJ598,0)</f>
        <v>0</v>
      </c>
      <c r="AB598" s="83">
        <f>IF(AQ598="1",BH598,0)</f>
        <v>0</v>
      </c>
      <c r="AC598" s="83">
        <f>IF(AQ598="1",BI598,0)</f>
        <v>0</v>
      </c>
      <c r="AD598" s="83">
        <f>IF(AQ598="7",BH598,0)</f>
        <v>0</v>
      </c>
      <c r="AE598" s="83">
        <f>IF(AQ598="7",BI598,0)</f>
        <v>0</v>
      </c>
      <c r="AF598" s="83">
        <f>IF(AQ598="2",BH598,0)</f>
        <v>0</v>
      </c>
      <c r="AG598" s="83">
        <f>IF(AQ598="2",BI598,0)</f>
        <v>0</v>
      </c>
      <c r="AH598" s="83">
        <f>IF(AQ598="0",BJ598,0)</f>
        <v>0</v>
      </c>
      <c r="AI598" s="72" t="s">
        <v>49</v>
      </c>
      <c r="AJ598" s="83">
        <f>IF(AN598=0,M598,0)</f>
        <v>0</v>
      </c>
      <c r="AK598" s="83">
        <f>IF(AN598=15,M598,0)</f>
        <v>0</v>
      </c>
      <c r="AL598" s="83">
        <f>IF(AN598=21,M598,0)</f>
        <v>0</v>
      </c>
      <c r="AN598" s="83">
        <v>21</v>
      </c>
      <c r="AO598" s="83">
        <f>L598*0</f>
        <v>0</v>
      </c>
      <c r="AP598" s="83">
        <f>L598*(1-0)</f>
        <v>0</v>
      </c>
      <c r="AQ598" s="85" t="s">
        <v>52</v>
      </c>
      <c r="AV598" s="83">
        <f>AW598+AX598</f>
        <v>0</v>
      </c>
      <c r="AW598" s="83">
        <f>K598*AO598</f>
        <v>0</v>
      </c>
      <c r="AX598" s="83">
        <f>K598*AP598</f>
        <v>0</v>
      </c>
      <c r="AY598" s="85" t="s">
        <v>961</v>
      </c>
      <c r="AZ598" s="85" t="s">
        <v>781</v>
      </c>
      <c r="BA598" s="72" t="s">
        <v>58</v>
      </c>
      <c r="BC598" s="83">
        <f>AW598+AX598</f>
        <v>0</v>
      </c>
      <c r="BD598" s="83">
        <f>L598/(100-BE598)*100</f>
        <v>0</v>
      </c>
      <c r="BE598" s="83">
        <v>0</v>
      </c>
      <c r="BF598" s="83">
        <f>597</f>
        <v>597</v>
      </c>
      <c r="BH598" s="83">
        <f>K598*AO598</f>
        <v>0</v>
      </c>
      <c r="BI598" s="83">
        <f>K598*AP598</f>
        <v>0</v>
      </c>
      <c r="BJ598" s="83">
        <f>K598*L598</f>
        <v>0</v>
      </c>
      <c r="BK598" s="83"/>
      <c r="BL598" s="83">
        <v>97</v>
      </c>
    </row>
    <row r="599" spans="1:13" ht="15" customHeight="1">
      <c r="A599" s="86"/>
      <c r="C599" s="87" t="s">
        <v>973</v>
      </c>
      <c r="I599" s="87" t="s">
        <v>974</v>
      </c>
      <c r="K599" s="88">
        <v>295.20000000000005</v>
      </c>
      <c r="M599" s="89"/>
    </row>
    <row r="600" spans="1:64" ht="15" customHeight="1">
      <c r="A600" s="65" t="s">
        <v>963</v>
      </c>
      <c r="B600" s="66" t="s">
        <v>976</v>
      </c>
      <c r="C600" s="150" t="s">
        <v>977</v>
      </c>
      <c r="D600" s="150"/>
      <c r="E600" s="150"/>
      <c r="F600" s="150"/>
      <c r="G600" s="150"/>
      <c r="H600" s="150"/>
      <c r="I600" s="150"/>
      <c r="J600" s="66" t="s">
        <v>79</v>
      </c>
      <c r="K600" s="83">
        <v>907.2</v>
      </c>
      <c r="L600" s="108"/>
      <c r="M600" s="84">
        <f>K600*L600</f>
        <v>0</v>
      </c>
      <c r="Z600" s="83">
        <f>IF(AQ600="5",BJ600,0)</f>
        <v>0</v>
      </c>
      <c r="AB600" s="83">
        <f>IF(AQ600="1",BH600,0)</f>
        <v>0</v>
      </c>
      <c r="AC600" s="83">
        <f>IF(AQ600="1",BI600,0)</f>
        <v>0</v>
      </c>
      <c r="AD600" s="83">
        <f>IF(AQ600="7",BH600,0)</f>
        <v>0</v>
      </c>
      <c r="AE600" s="83">
        <f>IF(AQ600="7",BI600,0)</f>
        <v>0</v>
      </c>
      <c r="AF600" s="83">
        <f>IF(AQ600="2",BH600,0)</f>
        <v>0</v>
      </c>
      <c r="AG600" s="83">
        <f>IF(AQ600="2",BI600,0)</f>
        <v>0</v>
      </c>
      <c r="AH600" s="83">
        <f>IF(AQ600="0",BJ600,0)</f>
        <v>0</v>
      </c>
      <c r="AI600" s="72" t="s">
        <v>49</v>
      </c>
      <c r="AJ600" s="83">
        <f>IF(AN600=0,M600,0)</f>
        <v>0</v>
      </c>
      <c r="AK600" s="83">
        <f>IF(AN600=15,M600,0)</f>
        <v>0</v>
      </c>
      <c r="AL600" s="83">
        <f>IF(AN600=21,M600,0)</f>
        <v>0</v>
      </c>
      <c r="AN600" s="83">
        <v>21</v>
      </c>
      <c r="AO600" s="83">
        <f>L600*0</f>
        <v>0</v>
      </c>
      <c r="AP600" s="83">
        <f>L600*(1-0)</f>
        <v>0</v>
      </c>
      <c r="AQ600" s="85" t="s">
        <v>52</v>
      </c>
      <c r="AV600" s="83">
        <f>AW600+AX600</f>
        <v>0</v>
      </c>
      <c r="AW600" s="83">
        <f>K600*AO600</f>
        <v>0</v>
      </c>
      <c r="AX600" s="83">
        <f>K600*AP600</f>
        <v>0</v>
      </c>
      <c r="AY600" s="85" t="s">
        <v>961</v>
      </c>
      <c r="AZ600" s="85" t="s">
        <v>781</v>
      </c>
      <c r="BA600" s="72" t="s">
        <v>58</v>
      </c>
      <c r="BC600" s="83">
        <f>AW600+AX600</f>
        <v>0</v>
      </c>
      <c r="BD600" s="83">
        <f>L600/(100-BE600)*100</f>
        <v>0</v>
      </c>
      <c r="BE600" s="83">
        <v>0</v>
      </c>
      <c r="BF600" s="83">
        <f>599</f>
        <v>599</v>
      </c>
      <c r="BH600" s="83">
        <f>K600*AO600</f>
        <v>0</v>
      </c>
      <c r="BI600" s="83">
        <f>K600*AP600</f>
        <v>0</v>
      </c>
      <c r="BJ600" s="83">
        <f>K600*L600</f>
        <v>0</v>
      </c>
      <c r="BK600" s="83"/>
      <c r="BL600" s="83">
        <v>97</v>
      </c>
    </row>
    <row r="601" spans="1:13" ht="15" customHeight="1">
      <c r="A601" s="86"/>
      <c r="C601" s="87" t="s">
        <v>978</v>
      </c>
      <c r="I601" s="87" t="s">
        <v>979</v>
      </c>
      <c r="K601" s="88">
        <v>907.2</v>
      </c>
      <c r="M601" s="89"/>
    </row>
    <row r="602" spans="1:64" ht="15" customHeight="1">
      <c r="A602" s="65" t="s">
        <v>970</v>
      </c>
      <c r="B602" s="66" t="s">
        <v>981</v>
      </c>
      <c r="C602" s="150" t="s">
        <v>982</v>
      </c>
      <c r="D602" s="150"/>
      <c r="E602" s="150"/>
      <c r="F602" s="150"/>
      <c r="G602" s="150"/>
      <c r="H602" s="150"/>
      <c r="I602" s="150"/>
      <c r="J602" s="66" t="s">
        <v>191</v>
      </c>
      <c r="K602" s="83">
        <v>636.8</v>
      </c>
      <c r="L602" s="108"/>
      <c r="M602" s="84">
        <f>K602*L602</f>
        <v>0</v>
      </c>
      <c r="Z602" s="83">
        <f>IF(AQ602="5",BJ602,0)</f>
        <v>0</v>
      </c>
      <c r="AB602" s="83">
        <f>IF(AQ602="1",BH602,0)</f>
        <v>0</v>
      </c>
      <c r="AC602" s="83">
        <f>IF(AQ602="1",BI602,0)</f>
        <v>0</v>
      </c>
      <c r="AD602" s="83">
        <f>IF(AQ602="7",BH602,0)</f>
        <v>0</v>
      </c>
      <c r="AE602" s="83">
        <f>IF(AQ602="7",BI602,0)</f>
        <v>0</v>
      </c>
      <c r="AF602" s="83">
        <f>IF(AQ602="2",BH602,0)</f>
        <v>0</v>
      </c>
      <c r="AG602" s="83">
        <f>IF(AQ602="2",BI602,0)</f>
        <v>0</v>
      </c>
      <c r="AH602" s="83">
        <f>IF(AQ602="0",BJ602,0)</f>
        <v>0</v>
      </c>
      <c r="AI602" s="72" t="s">
        <v>49</v>
      </c>
      <c r="AJ602" s="83">
        <f>IF(AN602=0,M602,0)</f>
        <v>0</v>
      </c>
      <c r="AK602" s="83">
        <f>IF(AN602=15,M602,0)</f>
        <v>0</v>
      </c>
      <c r="AL602" s="83">
        <f>IF(AN602=21,M602,0)</f>
        <v>0</v>
      </c>
      <c r="AN602" s="83">
        <v>21</v>
      </c>
      <c r="AO602" s="83">
        <f>L602*0</f>
        <v>0</v>
      </c>
      <c r="AP602" s="83">
        <f>L602*(1-0)</f>
        <v>0</v>
      </c>
      <c r="AQ602" s="85" t="s">
        <v>52</v>
      </c>
      <c r="AV602" s="83">
        <f>AW602+AX602</f>
        <v>0</v>
      </c>
      <c r="AW602" s="83">
        <f>K602*AO602</f>
        <v>0</v>
      </c>
      <c r="AX602" s="83">
        <f>K602*AP602</f>
        <v>0</v>
      </c>
      <c r="AY602" s="85" t="s">
        <v>961</v>
      </c>
      <c r="AZ602" s="85" t="s">
        <v>781</v>
      </c>
      <c r="BA602" s="72" t="s">
        <v>58</v>
      </c>
      <c r="BC602" s="83">
        <f>AW602+AX602</f>
        <v>0</v>
      </c>
      <c r="BD602" s="83">
        <f>L602/(100-BE602)*100</f>
        <v>0</v>
      </c>
      <c r="BE602" s="83">
        <v>0</v>
      </c>
      <c r="BF602" s="83">
        <f>601</f>
        <v>601</v>
      </c>
      <c r="BH602" s="83">
        <f>K602*AO602</f>
        <v>0</v>
      </c>
      <c r="BI602" s="83">
        <f>K602*AP602</f>
        <v>0</v>
      </c>
      <c r="BJ602" s="83">
        <f>K602*L602</f>
        <v>0</v>
      </c>
      <c r="BK602" s="83"/>
      <c r="BL602" s="83">
        <v>97</v>
      </c>
    </row>
    <row r="603" spans="1:13" ht="15" customHeight="1">
      <c r="A603" s="86"/>
      <c r="C603" s="87" t="s">
        <v>983</v>
      </c>
      <c r="I603" s="87" t="s">
        <v>984</v>
      </c>
      <c r="K603" s="88">
        <v>636.8000000000001</v>
      </c>
      <c r="M603" s="89"/>
    </row>
    <row r="604" spans="1:64" ht="15" customHeight="1">
      <c r="A604" s="65" t="s">
        <v>975</v>
      </c>
      <c r="B604" s="66" t="s">
        <v>986</v>
      </c>
      <c r="C604" s="150" t="s">
        <v>987</v>
      </c>
      <c r="D604" s="150"/>
      <c r="E604" s="150"/>
      <c r="F604" s="150"/>
      <c r="G604" s="150"/>
      <c r="H604" s="150"/>
      <c r="I604" s="150"/>
      <c r="J604" s="66" t="s">
        <v>79</v>
      </c>
      <c r="K604" s="83">
        <v>532</v>
      </c>
      <c r="L604" s="108"/>
      <c r="M604" s="84">
        <f>K604*L604</f>
        <v>0</v>
      </c>
      <c r="Z604" s="83">
        <f>IF(AQ604="5",BJ604,0)</f>
        <v>0</v>
      </c>
      <c r="AB604" s="83">
        <f>IF(AQ604="1",BH604,0)</f>
        <v>0</v>
      </c>
      <c r="AC604" s="83">
        <f>IF(AQ604="1",BI604,0)</f>
        <v>0</v>
      </c>
      <c r="AD604" s="83">
        <f>IF(AQ604="7",BH604,0)</f>
        <v>0</v>
      </c>
      <c r="AE604" s="83">
        <f>IF(AQ604="7",BI604,0)</f>
        <v>0</v>
      </c>
      <c r="AF604" s="83">
        <f>IF(AQ604="2",BH604,0)</f>
        <v>0</v>
      </c>
      <c r="AG604" s="83">
        <f>IF(AQ604="2",BI604,0)</f>
        <v>0</v>
      </c>
      <c r="AH604" s="83">
        <f>IF(AQ604="0",BJ604,0)</f>
        <v>0</v>
      </c>
      <c r="AI604" s="72" t="s">
        <v>49</v>
      </c>
      <c r="AJ604" s="83">
        <f>IF(AN604=0,M604,0)</f>
        <v>0</v>
      </c>
      <c r="AK604" s="83">
        <f>IF(AN604=15,M604,0)</f>
        <v>0</v>
      </c>
      <c r="AL604" s="83">
        <f>IF(AN604=21,M604,0)</f>
        <v>0</v>
      </c>
      <c r="AN604" s="83">
        <v>21</v>
      </c>
      <c r="AO604" s="83">
        <f>L604*0</f>
        <v>0</v>
      </c>
      <c r="AP604" s="83">
        <f>L604*(1-0)</f>
        <v>0</v>
      </c>
      <c r="AQ604" s="85" t="s">
        <v>52</v>
      </c>
      <c r="AV604" s="83">
        <f>AW604+AX604</f>
        <v>0</v>
      </c>
      <c r="AW604" s="83">
        <f>K604*AO604</f>
        <v>0</v>
      </c>
      <c r="AX604" s="83">
        <f>K604*AP604</f>
        <v>0</v>
      </c>
      <c r="AY604" s="85" t="s">
        <v>961</v>
      </c>
      <c r="AZ604" s="85" t="s">
        <v>781</v>
      </c>
      <c r="BA604" s="72" t="s">
        <v>58</v>
      </c>
      <c r="BC604" s="83">
        <f>AW604+AX604</f>
        <v>0</v>
      </c>
      <c r="BD604" s="83">
        <f>L604/(100-BE604)*100</f>
        <v>0</v>
      </c>
      <c r="BE604" s="83">
        <v>0</v>
      </c>
      <c r="BF604" s="83">
        <f>603</f>
        <v>603</v>
      </c>
      <c r="BH604" s="83">
        <f>K604*AO604</f>
        <v>0</v>
      </c>
      <c r="BI604" s="83">
        <f>K604*AP604</f>
        <v>0</v>
      </c>
      <c r="BJ604" s="83">
        <f>K604*L604</f>
        <v>0</v>
      </c>
      <c r="BK604" s="83"/>
      <c r="BL604" s="83">
        <v>97</v>
      </c>
    </row>
    <row r="605" spans="1:13" ht="15" customHeight="1">
      <c r="A605" s="86"/>
      <c r="C605" s="87" t="s">
        <v>85</v>
      </c>
      <c r="I605" s="87" t="s">
        <v>49</v>
      </c>
      <c r="K605" s="88">
        <v>532</v>
      </c>
      <c r="M605" s="89"/>
    </row>
    <row r="606" spans="1:64" ht="15" customHeight="1">
      <c r="A606" s="65" t="s">
        <v>980</v>
      </c>
      <c r="B606" s="66" t="s">
        <v>989</v>
      </c>
      <c r="C606" s="150" t="s">
        <v>990</v>
      </c>
      <c r="D606" s="150"/>
      <c r="E606" s="150"/>
      <c r="F606" s="150"/>
      <c r="G606" s="150"/>
      <c r="H606" s="150"/>
      <c r="I606" s="150"/>
      <c r="J606" s="66" t="s">
        <v>79</v>
      </c>
      <c r="K606" s="83">
        <v>6.2</v>
      </c>
      <c r="L606" s="108"/>
      <c r="M606" s="84">
        <f>K606*L606</f>
        <v>0</v>
      </c>
      <c r="Z606" s="83">
        <f>IF(AQ606="5",BJ606,0)</f>
        <v>0</v>
      </c>
      <c r="AB606" s="83">
        <f>IF(AQ606="1",BH606,0)</f>
        <v>0</v>
      </c>
      <c r="AC606" s="83">
        <f>IF(AQ606="1",BI606,0)</f>
        <v>0</v>
      </c>
      <c r="AD606" s="83">
        <f>IF(AQ606="7",BH606,0)</f>
        <v>0</v>
      </c>
      <c r="AE606" s="83">
        <f>IF(AQ606="7",BI606,0)</f>
        <v>0</v>
      </c>
      <c r="AF606" s="83">
        <f>IF(AQ606="2",BH606,0)</f>
        <v>0</v>
      </c>
      <c r="AG606" s="83">
        <f>IF(AQ606="2",BI606,0)</f>
        <v>0</v>
      </c>
      <c r="AH606" s="83">
        <f>IF(AQ606="0",BJ606,0)</f>
        <v>0</v>
      </c>
      <c r="AI606" s="72" t="s">
        <v>49</v>
      </c>
      <c r="AJ606" s="83">
        <f>IF(AN606=0,M606,0)</f>
        <v>0</v>
      </c>
      <c r="AK606" s="83">
        <f>IF(AN606=15,M606,0)</f>
        <v>0</v>
      </c>
      <c r="AL606" s="83">
        <f>IF(AN606=21,M606,0)</f>
        <v>0</v>
      </c>
      <c r="AN606" s="83">
        <v>21</v>
      </c>
      <c r="AO606" s="83">
        <f>L606*0</f>
        <v>0</v>
      </c>
      <c r="AP606" s="83">
        <f>L606*(1-0)</f>
        <v>0</v>
      </c>
      <c r="AQ606" s="85" t="s">
        <v>52</v>
      </c>
      <c r="AV606" s="83">
        <f>AW606+AX606</f>
        <v>0</v>
      </c>
      <c r="AW606" s="83">
        <f>K606*AO606</f>
        <v>0</v>
      </c>
      <c r="AX606" s="83">
        <f>K606*AP606</f>
        <v>0</v>
      </c>
      <c r="AY606" s="85" t="s">
        <v>961</v>
      </c>
      <c r="AZ606" s="85" t="s">
        <v>781</v>
      </c>
      <c r="BA606" s="72" t="s">
        <v>58</v>
      </c>
      <c r="BC606" s="83">
        <f>AW606+AX606</f>
        <v>0</v>
      </c>
      <c r="BD606" s="83">
        <f>L606/(100-BE606)*100</f>
        <v>0</v>
      </c>
      <c r="BE606" s="83">
        <v>0</v>
      </c>
      <c r="BF606" s="83">
        <f>605</f>
        <v>605</v>
      </c>
      <c r="BH606" s="83">
        <f>K606*AO606</f>
        <v>0</v>
      </c>
      <c r="BI606" s="83">
        <f>K606*AP606</f>
        <v>0</v>
      </c>
      <c r="BJ606" s="83">
        <f>K606*L606</f>
        <v>0</v>
      </c>
      <c r="BK606" s="83"/>
      <c r="BL606" s="83">
        <v>97</v>
      </c>
    </row>
    <row r="607" spans="1:13" ht="15" customHeight="1">
      <c r="A607" s="86"/>
      <c r="C607" s="87" t="s">
        <v>991</v>
      </c>
      <c r="I607" s="87" t="s">
        <v>49</v>
      </c>
      <c r="K607" s="88">
        <v>6.2</v>
      </c>
      <c r="M607" s="89"/>
    </row>
    <row r="608" spans="1:47" ht="15" customHeight="1">
      <c r="A608" s="78" t="s">
        <v>49</v>
      </c>
      <c r="B608" s="79" t="s">
        <v>992</v>
      </c>
      <c r="C608" s="168" t="s">
        <v>993</v>
      </c>
      <c r="D608" s="168"/>
      <c r="E608" s="168"/>
      <c r="F608" s="168"/>
      <c r="G608" s="168"/>
      <c r="H608" s="168"/>
      <c r="I608" s="168"/>
      <c r="J608" s="80" t="s">
        <v>3</v>
      </c>
      <c r="K608" s="80" t="s">
        <v>3</v>
      </c>
      <c r="L608" s="80" t="s">
        <v>3</v>
      </c>
      <c r="M608" s="81">
        <f>SUM(M609:M641)</f>
        <v>0</v>
      </c>
      <c r="AI608" s="72" t="s">
        <v>49</v>
      </c>
      <c r="AS608" s="82">
        <f>SUM(AJ609:AJ641)</f>
        <v>0</v>
      </c>
      <c r="AT608" s="82">
        <f>SUM(AK609:AK641)</f>
        <v>0</v>
      </c>
      <c r="AU608" s="82">
        <f>SUM(AL609:AL641)</f>
        <v>0</v>
      </c>
    </row>
    <row r="609" spans="1:64" ht="15" customHeight="1">
      <c r="A609" s="65" t="s">
        <v>985</v>
      </c>
      <c r="B609" s="66" t="s">
        <v>995</v>
      </c>
      <c r="C609" s="150" t="s">
        <v>996</v>
      </c>
      <c r="D609" s="150"/>
      <c r="E609" s="150"/>
      <c r="F609" s="150"/>
      <c r="G609" s="150"/>
      <c r="H609" s="150"/>
      <c r="I609" s="150"/>
      <c r="J609" s="66" t="s">
        <v>293</v>
      </c>
      <c r="K609" s="83">
        <v>315.671</v>
      </c>
      <c r="L609" s="108"/>
      <c r="M609" s="84">
        <f>K609*L609</f>
        <v>0</v>
      </c>
      <c r="Z609" s="83">
        <f>IF(AQ609="5",BJ609,0)</f>
        <v>0</v>
      </c>
      <c r="AB609" s="83">
        <f>IF(AQ609="1",BH609,0)</f>
        <v>0</v>
      </c>
      <c r="AC609" s="83">
        <f>IF(AQ609="1",BI609,0)</f>
        <v>0</v>
      </c>
      <c r="AD609" s="83">
        <f>IF(AQ609="7",BH609,0)</f>
        <v>0</v>
      </c>
      <c r="AE609" s="83">
        <f>IF(AQ609="7",BI609,0)</f>
        <v>0</v>
      </c>
      <c r="AF609" s="83">
        <f>IF(AQ609="2",BH609,0)</f>
        <v>0</v>
      </c>
      <c r="AG609" s="83">
        <f>IF(AQ609="2",BI609,0)</f>
        <v>0</v>
      </c>
      <c r="AH609" s="83">
        <f>IF(AQ609="0",BJ609,0)</f>
        <v>0</v>
      </c>
      <c r="AI609" s="72" t="s">
        <v>49</v>
      </c>
      <c r="AJ609" s="83">
        <f>IF(AN609=0,M609,0)</f>
        <v>0</v>
      </c>
      <c r="AK609" s="83">
        <f>IF(AN609=15,M609,0)</f>
        <v>0</v>
      </c>
      <c r="AL609" s="83">
        <f>IF(AN609=21,M609,0)</f>
        <v>0</v>
      </c>
      <c r="AN609" s="83">
        <v>21</v>
      </c>
      <c r="AO609" s="83">
        <f>L609*0</f>
        <v>0</v>
      </c>
      <c r="AP609" s="83">
        <f>L609*(1-0)</f>
        <v>0</v>
      </c>
      <c r="AQ609" s="85" t="s">
        <v>73</v>
      </c>
      <c r="AV609" s="83">
        <f>AW609+AX609</f>
        <v>0</v>
      </c>
      <c r="AW609" s="83">
        <f>K609*AO609</f>
        <v>0</v>
      </c>
      <c r="AX609" s="83">
        <f>K609*AP609</f>
        <v>0</v>
      </c>
      <c r="AY609" s="85" t="s">
        <v>997</v>
      </c>
      <c r="AZ609" s="85" t="s">
        <v>781</v>
      </c>
      <c r="BA609" s="72" t="s">
        <v>58</v>
      </c>
      <c r="BC609" s="83">
        <f>AW609+AX609</f>
        <v>0</v>
      </c>
      <c r="BD609" s="83">
        <f>L609/(100-BE609)*100</f>
        <v>0</v>
      </c>
      <c r="BE609" s="83">
        <v>0</v>
      </c>
      <c r="BF609" s="83">
        <f>608</f>
        <v>608</v>
      </c>
      <c r="BH609" s="83">
        <f>K609*AO609</f>
        <v>0</v>
      </c>
      <c r="BI609" s="83">
        <f>K609*AP609</f>
        <v>0</v>
      </c>
      <c r="BJ609" s="83">
        <f>K609*L609</f>
        <v>0</v>
      </c>
      <c r="BK609" s="83"/>
      <c r="BL609" s="83"/>
    </row>
    <row r="610" spans="1:13" ht="15" customHeight="1">
      <c r="A610" s="86"/>
      <c r="C610" s="87" t="s">
        <v>998</v>
      </c>
      <c r="I610" s="87" t="s">
        <v>999</v>
      </c>
      <c r="K610" s="88">
        <v>157.81500000000003</v>
      </c>
      <c r="M610" s="89"/>
    </row>
    <row r="611" spans="1:13" ht="15" customHeight="1">
      <c r="A611" s="86"/>
      <c r="C611" s="87" t="s">
        <v>1000</v>
      </c>
      <c r="I611" s="87" t="s">
        <v>1001</v>
      </c>
      <c r="K611" s="88">
        <v>95.90400000000001</v>
      </c>
      <c r="M611" s="89"/>
    </row>
    <row r="612" spans="1:13" ht="15" customHeight="1">
      <c r="A612" s="86"/>
      <c r="C612" s="87" t="s">
        <v>1002</v>
      </c>
      <c r="I612" s="87" t="s">
        <v>1003</v>
      </c>
      <c r="K612" s="88">
        <v>61.952000000000005</v>
      </c>
      <c r="M612" s="89"/>
    </row>
    <row r="613" spans="1:64" ht="15" customHeight="1">
      <c r="A613" s="65" t="s">
        <v>988</v>
      </c>
      <c r="B613" s="66" t="s">
        <v>1005</v>
      </c>
      <c r="C613" s="150" t="s">
        <v>1006</v>
      </c>
      <c r="D613" s="150"/>
      <c r="E613" s="150"/>
      <c r="F613" s="150"/>
      <c r="G613" s="150"/>
      <c r="H613" s="150"/>
      <c r="I613" s="150"/>
      <c r="J613" s="66" t="s">
        <v>293</v>
      </c>
      <c r="K613" s="83">
        <v>236.7635</v>
      </c>
      <c r="L613" s="108"/>
      <c r="M613" s="84">
        <f>K613*L613</f>
        <v>0</v>
      </c>
      <c r="Z613" s="83">
        <f>IF(AQ613="5",BJ613,0)</f>
        <v>0</v>
      </c>
      <c r="AB613" s="83">
        <f>IF(AQ613="1",BH613,0)</f>
        <v>0</v>
      </c>
      <c r="AC613" s="83">
        <f>IF(AQ613="1",BI613,0)</f>
        <v>0</v>
      </c>
      <c r="AD613" s="83">
        <f>IF(AQ613="7",BH613,0)</f>
        <v>0</v>
      </c>
      <c r="AE613" s="83">
        <f>IF(AQ613="7",BI613,0)</f>
        <v>0</v>
      </c>
      <c r="AF613" s="83">
        <f>IF(AQ613="2",BH613,0)</f>
        <v>0</v>
      </c>
      <c r="AG613" s="83">
        <f>IF(AQ613="2",BI613,0)</f>
        <v>0</v>
      </c>
      <c r="AH613" s="83">
        <f>IF(AQ613="0",BJ613,0)</f>
        <v>0</v>
      </c>
      <c r="AI613" s="72" t="s">
        <v>49</v>
      </c>
      <c r="AJ613" s="83">
        <f>IF(AN613=0,M613,0)</f>
        <v>0</v>
      </c>
      <c r="AK613" s="83">
        <f>IF(AN613=15,M613,0)</f>
        <v>0</v>
      </c>
      <c r="AL613" s="83">
        <f>IF(AN613=21,M613,0)</f>
        <v>0</v>
      </c>
      <c r="AN613" s="83">
        <v>21</v>
      </c>
      <c r="AO613" s="83">
        <f>L613*0</f>
        <v>0</v>
      </c>
      <c r="AP613" s="83">
        <f>L613*(1-0)</f>
        <v>0</v>
      </c>
      <c r="AQ613" s="85" t="s">
        <v>73</v>
      </c>
      <c r="AV613" s="83">
        <f>AW613+AX613</f>
        <v>0</v>
      </c>
      <c r="AW613" s="83">
        <f>K613*AO613</f>
        <v>0</v>
      </c>
      <c r="AX613" s="83">
        <f>K613*AP613</f>
        <v>0</v>
      </c>
      <c r="AY613" s="85" t="s">
        <v>997</v>
      </c>
      <c r="AZ613" s="85" t="s">
        <v>781</v>
      </c>
      <c r="BA613" s="72" t="s">
        <v>58</v>
      </c>
      <c r="BC613" s="83">
        <f>AW613+AX613</f>
        <v>0</v>
      </c>
      <c r="BD613" s="83">
        <f>L613/(100-BE613)*100</f>
        <v>0</v>
      </c>
      <c r="BE613" s="83">
        <v>0</v>
      </c>
      <c r="BF613" s="83">
        <f>612</f>
        <v>612</v>
      </c>
      <c r="BH613" s="83">
        <f>K613*AO613</f>
        <v>0</v>
      </c>
      <c r="BI613" s="83">
        <f>K613*AP613</f>
        <v>0</v>
      </c>
      <c r="BJ613" s="83">
        <f>K613*L613</f>
        <v>0</v>
      </c>
      <c r="BK613" s="83"/>
      <c r="BL613" s="83"/>
    </row>
    <row r="614" spans="1:13" ht="15" customHeight="1">
      <c r="A614" s="86"/>
      <c r="C614" s="87" t="s">
        <v>1007</v>
      </c>
      <c r="I614" s="87" t="s">
        <v>1008</v>
      </c>
      <c r="K614" s="88">
        <v>78.90750000000001</v>
      </c>
      <c r="M614" s="89"/>
    </row>
    <row r="615" spans="1:13" ht="15" customHeight="1">
      <c r="A615" s="86"/>
      <c r="C615" s="87" t="s">
        <v>1009</v>
      </c>
      <c r="I615" s="87" t="s">
        <v>1010</v>
      </c>
      <c r="K615" s="88">
        <v>95.90400000000001</v>
      </c>
      <c r="M615" s="89"/>
    </row>
    <row r="616" spans="1:13" ht="15" customHeight="1">
      <c r="A616" s="86"/>
      <c r="C616" s="87" t="s">
        <v>1011</v>
      </c>
      <c r="I616" s="87" t="s">
        <v>1012</v>
      </c>
      <c r="K616" s="88">
        <v>61.952000000000005</v>
      </c>
      <c r="M616" s="89"/>
    </row>
    <row r="617" spans="1:13" ht="13.5" customHeight="1">
      <c r="A617" s="86"/>
      <c r="B617" s="90" t="s">
        <v>60</v>
      </c>
      <c r="C617" s="161" t="s">
        <v>1013</v>
      </c>
      <c r="D617" s="162"/>
      <c r="E617" s="162"/>
      <c r="F617" s="162"/>
      <c r="G617" s="162"/>
      <c r="H617" s="162"/>
      <c r="I617" s="162"/>
      <c r="J617" s="162"/>
      <c r="K617" s="162"/>
      <c r="L617" s="162"/>
      <c r="M617" s="163"/>
    </row>
    <row r="618" spans="1:64" ht="15" customHeight="1">
      <c r="A618" s="65" t="s">
        <v>994</v>
      </c>
      <c r="B618" s="66" t="s">
        <v>1015</v>
      </c>
      <c r="C618" s="150" t="s">
        <v>1016</v>
      </c>
      <c r="D618" s="150"/>
      <c r="E618" s="150"/>
      <c r="F618" s="150"/>
      <c r="G618" s="150"/>
      <c r="H618" s="150"/>
      <c r="I618" s="150"/>
      <c r="J618" s="66" t="s">
        <v>293</v>
      </c>
      <c r="K618" s="83">
        <v>432.7312</v>
      </c>
      <c r="L618" s="108"/>
      <c r="M618" s="84">
        <f>K618*L618</f>
        <v>0</v>
      </c>
      <c r="Z618" s="83">
        <f>IF(AQ618="5",BJ618,0)</f>
        <v>0</v>
      </c>
      <c r="AB618" s="83">
        <f>IF(AQ618="1",BH618,0)</f>
        <v>0</v>
      </c>
      <c r="AC618" s="83">
        <f>IF(AQ618="1",BI618,0)</f>
        <v>0</v>
      </c>
      <c r="AD618" s="83">
        <f>IF(AQ618="7",BH618,0)</f>
        <v>0</v>
      </c>
      <c r="AE618" s="83">
        <f>IF(AQ618="7",BI618,0)</f>
        <v>0</v>
      </c>
      <c r="AF618" s="83">
        <f>IF(AQ618="2",BH618,0)</f>
        <v>0</v>
      </c>
      <c r="AG618" s="83">
        <f>IF(AQ618="2",BI618,0)</f>
        <v>0</v>
      </c>
      <c r="AH618" s="83">
        <f>IF(AQ618="0",BJ618,0)</f>
        <v>0</v>
      </c>
      <c r="AI618" s="72" t="s">
        <v>49</v>
      </c>
      <c r="AJ618" s="83">
        <f>IF(AN618=0,M618,0)</f>
        <v>0</v>
      </c>
      <c r="AK618" s="83">
        <f>IF(AN618=15,M618,0)</f>
        <v>0</v>
      </c>
      <c r="AL618" s="83">
        <f>IF(AN618=21,M618,0)</f>
        <v>0</v>
      </c>
      <c r="AN618" s="83">
        <v>21</v>
      </c>
      <c r="AO618" s="83">
        <f>L618*0.0133793249466297</f>
        <v>0</v>
      </c>
      <c r="AP618" s="83">
        <f>L618*(1-0.0133793249466297)</f>
        <v>0</v>
      </c>
      <c r="AQ618" s="85" t="s">
        <v>73</v>
      </c>
      <c r="AV618" s="83">
        <f>AW618+AX618</f>
        <v>0</v>
      </c>
      <c r="AW618" s="83">
        <f>K618*AO618</f>
        <v>0</v>
      </c>
      <c r="AX618" s="83">
        <f>K618*AP618</f>
        <v>0</v>
      </c>
      <c r="AY618" s="85" t="s">
        <v>997</v>
      </c>
      <c r="AZ618" s="85" t="s">
        <v>781</v>
      </c>
      <c r="BA618" s="72" t="s">
        <v>58</v>
      </c>
      <c r="BC618" s="83">
        <f>AW618+AX618</f>
        <v>0</v>
      </c>
      <c r="BD618" s="83">
        <f>L618/(100-BE618)*100</f>
        <v>0</v>
      </c>
      <c r="BE618" s="83">
        <v>0</v>
      </c>
      <c r="BF618" s="83">
        <f>617</f>
        <v>617</v>
      </c>
      <c r="BH618" s="83">
        <f>K618*AO618</f>
        <v>0</v>
      </c>
      <c r="BI618" s="83">
        <f>K618*AP618</f>
        <v>0</v>
      </c>
      <c r="BJ618" s="83">
        <f>K618*L618</f>
        <v>0</v>
      </c>
      <c r="BK618" s="83"/>
      <c r="BL618" s="83"/>
    </row>
    <row r="619" spans="1:13" ht="15" customHeight="1">
      <c r="A619" s="86"/>
      <c r="C619" s="87" t="s">
        <v>1017</v>
      </c>
      <c r="I619" s="87" t="s">
        <v>1018</v>
      </c>
      <c r="K619" s="88">
        <v>363.064</v>
      </c>
      <c r="M619" s="89"/>
    </row>
    <row r="620" spans="1:13" ht="15" customHeight="1">
      <c r="A620" s="86"/>
      <c r="C620" s="87" t="s">
        <v>1019</v>
      </c>
      <c r="I620" s="87" t="s">
        <v>1020</v>
      </c>
      <c r="K620" s="88">
        <v>69.66720000000001</v>
      </c>
      <c r="M620" s="89"/>
    </row>
    <row r="621" spans="1:13" ht="27" customHeight="1">
      <c r="A621" s="86"/>
      <c r="B621" s="90" t="s">
        <v>60</v>
      </c>
      <c r="C621" s="161" t="s">
        <v>1021</v>
      </c>
      <c r="D621" s="162"/>
      <c r="E621" s="162"/>
      <c r="F621" s="162"/>
      <c r="G621" s="162"/>
      <c r="H621" s="162"/>
      <c r="I621" s="162"/>
      <c r="J621" s="162"/>
      <c r="K621" s="162"/>
      <c r="L621" s="162"/>
      <c r="M621" s="163"/>
    </row>
    <row r="622" spans="1:64" ht="15" customHeight="1">
      <c r="A622" s="65" t="s">
        <v>1004</v>
      </c>
      <c r="B622" s="66" t="s">
        <v>1023</v>
      </c>
      <c r="C622" s="150" t="s">
        <v>1024</v>
      </c>
      <c r="D622" s="150"/>
      <c r="E622" s="150"/>
      <c r="F622" s="150"/>
      <c r="G622" s="150"/>
      <c r="H622" s="150"/>
      <c r="I622" s="150"/>
      <c r="J622" s="66" t="s">
        <v>293</v>
      </c>
      <c r="K622" s="83">
        <v>308.2736</v>
      </c>
      <c r="L622" s="108"/>
      <c r="M622" s="84">
        <f>K622*L622</f>
        <v>0</v>
      </c>
      <c r="Z622" s="83">
        <f>IF(AQ622="5",BJ622,0)</f>
        <v>0</v>
      </c>
      <c r="AB622" s="83">
        <f>IF(AQ622="1",BH622,0)</f>
        <v>0</v>
      </c>
      <c r="AC622" s="83">
        <f>IF(AQ622="1",BI622,0)</f>
        <v>0</v>
      </c>
      <c r="AD622" s="83">
        <f>IF(AQ622="7",BH622,0)</f>
        <v>0</v>
      </c>
      <c r="AE622" s="83">
        <f>IF(AQ622="7",BI622,0)</f>
        <v>0</v>
      </c>
      <c r="AF622" s="83">
        <f>IF(AQ622="2",BH622,0)</f>
        <v>0</v>
      </c>
      <c r="AG622" s="83">
        <f>IF(AQ622="2",BI622,0)</f>
        <v>0</v>
      </c>
      <c r="AH622" s="83">
        <f>IF(AQ622="0",BJ622,0)</f>
        <v>0</v>
      </c>
      <c r="AI622" s="72" t="s">
        <v>49</v>
      </c>
      <c r="AJ622" s="83">
        <f>IF(AN622=0,M622,0)</f>
        <v>0</v>
      </c>
      <c r="AK622" s="83">
        <f>IF(AN622=15,M622,0)</f>
        <v>0</v>
      </c>
      <c r="AL622" s="83">
        <f>IF(AN622=21,M622,0)</f>
        <v>0</v>
      </c>
      <c r="AN622" s="83">
        <v>21</v>
      </c>
      <c r="AO622" s="83">
        <f>L622*0</f>
        <v>0</v>
      </c>
      <c r="AP622" s="83">
        <f>L622*(1-0)</f>
        <v>0</v>
      </c>
      <c r="AQ622" s="85" t="s">
        <v>73</v>
      </c>
      <c r="AV622" s="83">
        <f>AW622+AX622</f>
        <v>0</v>
      </c>
      <c r="AW622" s="83">
        <f>K622*AO622</f>
        <v>0</v>
      </c>
      <c r="AX622" s="83">
        <f>K622*AP622</f>
        <v>0</v>
      </c>
      <c r="AY622" s="85" t="s">
        <v>997</v>
      </c>
      <c r="AZ622" s="85" t="s">
        <v>781</v>
      </c>
      <c r="BA622" s="72" t="s">
        <v>58</v>
      </c>
      <c r="BC622" s="83">
        <f>AW622+AX622</f>
        <v>0</v>
      </c>
      <c r="BD622" s="83">
        <f>L622/(100-BE622)*100</f>
        <v>0</v>
      </c>
      <c r="BE622" s="83">
        <v>0</v>
      </c>
      <c r="BF622" s="83">
        <f>621</f>
        <v>621</v>
      </c>
      <c r="BH622" s="83">
        <f>K622*AO622</f>
        <v>0</v>
      </c>
      <c r="BI622" s="83">
        <f>K622*AP622</f>
        <v>0</v>
      </c>
      <c r="BJ622" s="83">
        <f>K622*L622</f>
        <v>0</v>
      </c>
      <c r="BK622" s="83"/>
      <c r="BL622" s="83"/>
    </row>
    <row r="623" spans="1:13" ht="15" customHeight="1">
      <c r="A623" s="86"/>
      <c r="C623" s="87" t="s">
        <v>1025</v>
      </c>
      <c r="I623" s="87" t="s">
        <v>1026</v>
      </c>
      <c r="K623" s="88">
        <v>308.27360000000004</v>
      </c>
      <c r="M623" s="89"/>
    </row>
    <row r="624" spans="1:64" ht="15" customHeight="1">
      <c r="A624" s="65" t="s">
        <v>1014</v>
      </c>
      <c r="B624" s="66" t="s">
        <v>1035</v>
      </c>
      <c r="C624" s="150" t="s">
        <v>1036</v>
      </c>
      <c r="D624" s="150"/>
      <c r="E624" s="150"/>
      <c r="F624" s="150"/>
      <c r="G624" s="150"/>
      <c r="H624" s="150"/>
      <c r="I624" s="150"/>
      <c r="J624" s="66" t="s">
        <v>293</v>
      </c>
      <c r="K624" s="83">
        <v>28.68</v>
      </c>
      <c r="L624" s="108"/>
      <c r="M624" s="84">
        <f>K624*L624</f>
        <v>0</v>
      </c>
      <c r="Z624" s="83">
        <f>IF(AQ624="5",BJ624,0)</f>
        <v>0</v>
      </c>
      <c r="AB624" s="83">
        <f>IF(AQ624="1",BH624,0)</f>
        <v>0</v>
      </c>
      <c r="AC624" s="83">
        <f>IF(AQ624="1",BI624,0)</f>
        <v>0</v>
      </c>
      <c r="AD624" s="83">
        <f>IF(AQ624="7",BH624,0)</f>
        <v>0</v>
      </c>
      <c r="AE624" s="83">
        <f>IF(AQ624="7",BI624,0)</f>
        <v>0</v>
      </c>
      <c r="AF624" s="83">
        <f>IF(AQ624="2",BH624,0)</f>
        <v>0</v>
      </c>
      <c r="AG624" s="83">
        <f>IF(AQ624="2",BI624,0)</f>
        <v>0</v>
      </c>
      <c r="AH624" s="83">
        <f>IF(AQ624="0",BJ624,0)</f>
        <v>0</v>
      </c>
      <c r="AI624" s="72" t="s">
        <v>49</v>
      </c>
      <c r="AJ624" s="83">
        <f>IF(AN624=0,M624,0)</f>
        <v>0</v>
      </c>
      <c r="AK624" s="83">
        <f>IF(AN624=15,M624,0)</f>
        <v>0</v>
      </c>
      <c r="AL624" s="83">
        <f>IF(AN624=21,M624,0)</f>
        <v>0</v>
      </c>
      <c r="AN624" s="83">
        <v>21</v>
      </c>
      <c r="AO624" s="83">
        <f>L624*0</f>
        <v>0</v>
      </c>
      <c r="AP624" s="83">
        <f>L624*(1-0)</f>
        <v>0</v>
      </c>
      <c r="AQ624" s="85" t="s">
        <v>73</v>
      </c>
      <c r="AV624" s="83">
        <f>AW624+AX624</f>
        <v>0</v>
      </c>
      <c r="AW624" s="83">
        <f>K624*AO624</f>
        <v>0</v>
      </c>
      <c r="AX624" s="83">
        <f>K624*AP624</f>
        <v>0</v>
      </c>
      <c r="AY624" s="85" t="s">
        <v>997</v>
      </c>
      <c r="AZ624" s="85" t="s">
        <v>781</v>
      </c>
      <c r="BA624" s="72" t="s">
        <v>58</v>
      </c>
      <c r="BC624" s="83">
        <f>AW624+AX624</f>
        <v>0</v>
      </c>
      <c r="BD624" s="83">
        <f>L624/(100-BE624)*100</f>
        <v>0</v>
      </c>
      <c r="BE624" s="83">
        <v>0</v>
      </c>
      <c r="BF624" s="83">
        <f>623</f>
        <v>623</v>
      </c>
      <c r="BH624" s="83">
        <f>K624*AO624</f>
        <v>0</v>
      </c>
      <c r="BI624" s="83">
        <f>K624*AP624</f>
        <v>0</v>
      </c>
      <c r="BJ624" s="83">
        <f>K624*L624</f>
        <v>0</v>
      </c>
      <c r="BK624" s="83"/>
      <c r="BL624" s="83"/>
    </row>
    <row r="625" spans="1:13" ht="15" customHeight="1">
      <c r="A625" s="86"/>
      <c r="C625" s="87" t="s">
        <v>1037</v>
      </c>
      <c r="I625" s="87" t="s">
        <v>1038</v>
      </c>
      <c r="K625" s="88">
        <v>28.680000000000003</v>
      </c>
      <c r="M625" s="89"/>
    </row>
    <row r="626" spans="1:64" ht="15" customHeight="1">
      <c r="A626" s="65" t="s">
        <v>1022</v>
      </c>
      <c r="B626" s="66" t="s">
        <v>964</v>
      </c>
      <c r="C626" s="150" t="s">
        <v>1292</v>
      </c>
      <c r="D626" s="150"/>
      <c r="E626" s="150"/>
      <c r="F626" s="150"/>
      <c r="G626" s="150"/>
      <c r="H626" s="150"/>
      <c r="I626" s="150"/>
      <c r="J626" s="66" t="s">
        <v>293</v>
      </c>
      <c r="K626" s="83">
        <v>4910.03872</v>
      </c>
      <c r="L626" s="108"/>
      <c r="M626" s="84">
        <f>K626*L626</f>
        <v>0</v>
      </c>
      <c r="Z626" s="83">
        <f>IF(AQ626="5",BJ626,0)</f>
        <v>0</v>
      </c>
      <c r="AB626" s="83">
        <f>IF(AQ626="1",BH626,0)</f>
        <v>0</v>
      </c>
      <c r="AC626" s="83">
        <f>IF(AQ626="1",BI626,0)</f>
        <v>0</v>
      </c>
      <c r="AD626" s="83">
        <f>IF(AQ626="7",BH626,0)</f>
        <v>0</v>
      </c>
      <c r="AE626" s="83">
        <f>IF(AQ626="7",BI626,0)</f>
        <v>0</v>
      </c>
      <c r="AF626" s="83">
        <f>IF(AQ626="2",BH626,0)</f>
        <v>0</v>
      </c>
      <c r="AG626" s="83">
        <f>IF(AQ626="2",BI626,0)</f>
        <v>0</v>
      </c>
      <c r="AH626" s="83">
        <f>IF(AQ626="0",BJ626,0)</f>
        <v>0</v>
      </c>
      <c r="AI626" s="72" t="s">
        <v>49</v>
      </c>
      <c r="AJ626" s="83">
        <f>IF(AN626=0,M626,0)</f>
        <v>0</v>
      </c>
      <c r="AK626" s="83">
        <f>IF(AN626=15,M626,0)</f>
        <v>0</v>
      </c>
      <c r="AL626" s="83">
        <f>IF(AN626=21,M626,0)</f>
        <v>0</v>
      </c>
      <c r="AN626" s="83">
        <v>21</v>
      </c>
      <c r="AO626" s="83">
        <f>L626*0</f>
        <v>0</v>
      </c>
      <c r="AP626" s="83">
        <f>L626*(1-0)</f>
        <v>0</v>
      </c>
      <c r="AQ626" s="85" t="s">
        <v>73</v>
      </c>
      <c r="AV626" s="83">
        <f>AW626+AX626</f>
        <v>0</v>
      </c>
      <c r="AW626" s="83">
        <f>K626*AO626</f>
        <v>0</v>
      </c>
      <c r="AX626" s="83">
        <f>K626*AP626</f>
        <v>0</v>
      </c>
      <c r="AY626" s="85" t="s">
        <v>997</v>
      </c>
      <c r="AZ626" s="85" t="s">
        <v>781</v>
      </c>
      <c r="BA626" s="72" t="s">
        <v>58</v>
      </c>
      <c r="BC626" s="83">
        <f>AW626+AX626</f>
        <v>0</v>
      </c>
      <c r="BD626" s="83">
        <f>L626/(100-BE626)*100</f>
        <v>0</v>
      </c>
      <c r="BE626" s="83">
        <v>0</v>
      </c>
      <c r="BF626" s="83">
        <f>625</f>
        <v>625</v>
      </c>
      <c r="BH626" s="83">
        <f>K626*AO626</f>
        <v>0</v>
      </c>
      <c r="BI626" s="83">
        <f>K626*AP626</f>
        <v>0</v>
      </c>
      <c r="BJ626" s="83">
        <f>K626*L626</f>
        <v>0</v>
      </c>
      <c r="BK626" s="83"/>
      <c r="BL626" s="83"/>
    </row>
    <row r="627" spans="1:13" ht="15" customHeight="1">
      <c r="A627" s="86"/>
      <c r="C627" s="87" t="s">
        <v>1040</v>
      </c>
      <c r="I627" s="87" t="s">
        <v>1041</v>
      </c>
      <c r="K627" s="88">
        <v>3479.7274</v>
      </c>
      <c r="M627" s="89"/>
    </row>
    <row r="628" spans="1:13" ht="15" customHeight="1">
      <c r="A628" s="86"/>
      <c r="C628" s="87" t="s">
        <v>1293</v>
      </c>
      <c r="I628" s="87" t="s">
        <v>1042</v>
      </c>
      <c r="K628" s="88">
        <v>2459.7000000000003</v>
      </c>
      <c r="M628" s="89"/>
    </row>
    <row r="629" spans="1:13" ht="15" customHeight="1">
      <c r="A629" s="86"/>
      <c r="C629" s="87" t="s">
        <v>1043</v>
      </c>
      <c r="I629" s="87" t="s">
        <v>1044</v>
      </c>
      <c r="K629" s="88">
        <v>-679.432</v>
      </c>
      <c r="M629" s="89"/>
    </row>
    <row r="630" spans="1:13" ht="15" customHeight="1">
      <c r="A630" s="86"/>
      <c r="C630" s="87" t="s">
        <v>1045</v>
      </c>
      <c r="I630" s="87" t="s">
        <v>1044</v>
      </c>
      <c r="K630" s="88">
        <v>-349.95668</v>
      </c>
      <c r="M630" s="89"/>
    </row>
    <row r="631" spans="1:13" ht="121.5" customHeight="1">
      <c r="A631" s="86"/>
      <c r="B631" s="90" t="s">
        <v>1053</v>
      </c>
      <c r="C631" s="161" t="s">
        <v>1054</v>
      </c>
      <c r="D631" s="162"/>
      <c r="E631" s="162"/>
      <c r="F631" s="162"/>
      <c r="G631" s="162"/>
      <c r="H631" s="162"/>
      <c r="I631" s="162"/>
      <c r="J631" s="162"/>
      <c r="K631" s="162"/>
      <c r="L631" s="162"/>
      <c r="M631" s="163"/>
    </row>
    <row r="632" spans="1:64" ht="15" customHeight="1">
      <c r="A632" s="65" t="s">
        <v>1027</v>
      </c>
      <c r="B632" s="66" t="s">
        <v>1049</v>
      </c>
      <c r="C632" s="150" t="s">
        <v>1294</v>
      </c>
      <c r="D632" s="150"/>
      <c r="E632" s="150"/>
      <c r="F632" s="150"/>
      <c r="G632" s="150"/>
      <c r="H632" s="150"/>
      <c r="I632" s="150"/>
      <c r="J632" s="66" t="s">
        <v>293</v>
      </c>
      <c r="K632" s="83">
        <v>155.4641</v>
      </c>
      <c r="L632" s="108"/>
      <c r="M632" s="84">
        <f>K632*L632</f>
        <v>0</v>
      </c>
      <c r="Z632" s="83">
        <f>IF(AQ632="5",BJ632,0)</f>
        <v>0</v>
      </c>
      <c r="AB632" s="83">
        <f>IF(AQ632="1",BH632,0)</f>
        <v>0</v>
      </c>
      <c r="AC632" s="83">
        <f>IF(AQ632="1",BI632,0)</f>
        <v>0</v>
      </c>
      <c r="AD632" s="83">
        <f>IF(AQ632="7",BH632,0)</f>
        <v>0</v>
      </c>
      <c r="AE632" s="83">
        <f>IF(AQ632="7",BI632,0)</f>
        <v>0</v>
      </c>
      <c r="AF632" s="83">
        <f>IF(AQ632="2",BH632,0)</f>
        <v>0</v>
      </c>
      <c r="AG632" s="83">
        <f>IF(AQ632="2",BI632,0)</f>
        <v>0</v>
      </c>
      <c r="AH632" s="83">
        <f>IF(AQ632="0",BJ632,0)</f>
        <v>0</v>
      </c>
      <c r="AI632" s="72" t="s">
        <v>49</v>
      </c>
      <c r="AJ632" s="83">
        <f>IF(AN632=0,M632,0)</f>
        <v>0</v>
      </c>
      <c r="AK632" s="83">
        <f>IF(AN632=15,M632,0)</f>
        <v>0</v>
      </c>
      <c r="AL632" s="83">
        <f>IF(AN632=21,M632,0)</f>
        <v>0</v>
      </c>
      <c r="AN632" s="83">
        <v>21</v>
      </c>
      <c r="AO632" s="83">
        <f>L632*0</f>
        <v>0</v>
      </c>
      <c r="AP632" s="83">
        <f>L632*(1-0)</f>
        <v>0</v>
      </c>
      <c r="AQ632" s="85" t="s">
        <v>73</v>
      </c>
      <c r="AV632" s="83">
        <f>AW632+AX632</f>
        <v>0</v>
      </c>
      <c r="AW632" s="83">
        <f>K632*AO632</f>
        <v>0</v>
      </c>
      <c r="AX632" s="83">
        <f>K632*AP632</f>
        <v>0</v>
      </c>
      <c r="AY632" s="85" t="s">
        <v>997</v>
      </c>
      <c r="AZ632" s="85" t="s">
        <v>781</v>
      </c>
      <c r="BA632" s="72" t="s">
        <v>58</v>
      </c>
      <c r="BC632" s="83">
        <f>AW632+AX632</f>
        <v>0</v>
      </c>
      <c r="BD632" s="83">
        <f>L632/(100-BE632)*100</f>
        <v>0</v>
      </c>
      <c r="BE632" s="83">
        <v>0</v>
      </c>
      <c r="BF632" s="83">
        <f>631</f>
        <v>631</v>
      </c>
      <c r="BH632" s="83">
        <f>K632*AO632</f>
        <v>0</v>
      </c>
      <c r="BI632" s="83">
        <f>K632*AP632</f>
        <v>0</v>
      </c>
      <c r="BJ632" s="83">
        <f>K632*L632</f>
        <v>0</v>
      </c>
      <c r="BK632" s="83"/>
      <c r="BL632" s="83"/>
    </row>
    <row r="633" spans="1:13" ht="15" customHeight="1">
      <c r="A633" s="86"/>
      <c r="C633" s="87" t="s">
        <v>1047</v>
      </c>
      <c r="I633" s="87" t="s">
        <v>49</v>
      </c>
      <c r="K633" s="88">
        <v>172.43810000000002</v>
      </c>
      <c r="M633" s="89"/>
    </row>
    <row r="634" spans="1:13" ht="15" customHeight="1">
      <c r="A634" s="86"/>
      <c r="C634" s="87" t="s">
        <v>1030</v>
      </c>
      <c r="I634" s="87" t="s">
        <v>1031</v>
      </c>
      <c r="K634" s="88">
        <v>-12.144</v>
      </c>
      <c r="M634" s="89"/>
    </row>
    <row r="635" spans="1:13" ht="15" customHeight="1">
      <c r="A635" s="86"/>
      <c r="C635" s="87" t="s">
        <v>1032</v>
      </c>
      <c r="I635" s="87" t="s">
        <v>1033</v>
      </c>
      <c r="K635" s="88">
        <v>-4.83</v>
      </c>
      <c r="M635" s="89"/>
    </row>
    <row r="636" spans="1:13" ht="12.75" customHeight="1">
      <c r="A636" s="86"/>
      <c r="B636" s="90" t="s">
        <v>60</v>
      </c>
      <c r="C636" s="161" t="s">
        <v>49</v>
      </c>
      <c r="D636" s="162"/>
      <c r="E636" s="162"/>
      <c r="F636" s="162"/>
      <c r="G636" s="162"/>
      <c r="H636" s="162"/>
      <c r="I636" s="162"/>
      <c r="J636" s="162"/>
      <c r="K636" s="162"/>
      <c r="L636" s="162"/>
      <c r="M636" s="163"/>
    </row>
    <row r="637" spans="1:13" ht="13.5" customHeight="1">
      <c r="A637" s="86"/>
      <c r="B637" s="90" t="s">
        <v>1053</v>
      </c>
      <c r="C637" s="161" t="s">
        <v>1295</v>
      </c>
      <c r="D637" s="162"/>
      <c r="E637" s="162"/>
      <c r="F637" s="162"/>
      <c r="G637" s="162"/>
      <c r="H637" s="162"/>
      <c r="I637" s="162"/>
      <c r="J637" s="162"/>
      <c r="K637" s="162"/>
      <c r="L637" s="162"/>
      <c r="M637" s="163"/>
    </row>
    <row r="638" spans="1:64" ht="15" customHeight="1">
      <c r="A638" s="65" t="s">
        <v>1034</v>
      </c>
      <c r="B638" s="66" t="s">
        <v>1056</v>
      </c>
      <c r="C638" s="150" t="s">
        <v>1050</v>
      </c>
      <c r="D638" s="150"/>
      <c r="E638" s="150"/>
      <c r="F638" s="150"/>
      <c r="G638" s="150"/>
      <c r="H638" s="150"/>
      <c r="I638" s="150"/>
      <c r="J638" s="66" t="s">
        <v>293</v>
      </c>
      <c r="K638" s="83">
        <v>39.996</v>
      </c>
      <c r="L638" s="108"/>
      <c r="M638" s="84">
        <f>K638*L638</f>
        <v>0</v>
      </c>
      <c r="Z638" s="83">
        <f>IF(AQ638="5",BJ638,0)</f>
        <v>0</v>
      </c>
      <c r="AB638" s="83">
        <f>IF(AQ638="1",BH638,0)</f>
        <v>0</v>
      </c>
      <c r="AC638" s="83">
        <f>IF(AQ638="1",BI638,0)</f>
        <v>0</v>
      </c>
      <c r="AD638" s="83">
        <f>IF(AQ638="7",BH638,0)</f>
        <v>0</v>
      </c>
      <c r="AE638" s="83">
        <f>IF(AQ638="7",BI638,0)</f>
        <v>0</v>
      </c>
      <c r="AF638" s="83">
        <f>IF(AQ638="2",BH638,0)</f>
        <v>0</v>
      </c>
      <c r="AG638" s="83">
        <f>IF(AQ638="2",BI638,0)</f>
        <v>0</v>
      </c>
      <c r="AH638" s="83">
        <f>IF(AQ638="0",BJ638,0)</f>
        <v>0</v>
      </c>
      <c r="AI638" s="72" t="s">
        <v>49</v>
      </c>
      <c r="AJ638" s="83">
        <f>IF(AN638=0,M638,0)</f>
        <v>0</v>
      </c>
      <c r="AK638" s="83">
        <f>IF(AN638=15,M638,0)</f>
        <v>0</v>
      </c>
      <c r="AL638" s="83">
        <f>IF(AN638=21,M638,0)</f>
        <v>0</v>
      </c>
      <c r="AN638" s="83">
        <v>21</v>
      </c>
      <c r="AO638" s="83">
        <f>L638*0</f>
        <v>0</v>
      </c>
      <c r="AP638" s="83">
        <f>L638*(1-0)</f>
        <v>0</v>
      </c>
      <c r="AQ638" s="85" t="s">
        <v>73</v>
      </c>
      <c r="AV638" s="83">
        <f>AW638+AX638</f>
        <v>0</v>
      </c>
      <c r="AW638" s="83">
        <f>K638*AO638</f>
        <v>0</v>
      </c>
      <c r="AX638" s="83">
        <f>K638*AP638</f>
        <v>0</v>
      </c>
      <c r="AY638" s="85" t="s">
        <v>997</v>
      </c>
      <c r="AZ638" s="85" t="s">
        <v>781</v>
      </c>
      <c r="BA638" s="72" t="s">
        <v>58</v>
      </c>
      <c r="BC638" s="83">
        <f>AW638+AX638</f>
        <v>0</v>
      </c>
      <c r="BD638" s="83">
        <f>L638/(100-BE638)*100</f>
        <v>0</v>
      </c>
      <c r="BE638" s="83">
        <v>0</v>
      </c>
      <c r="BF638" s="83">
        <f>637</f>
        <v>637</v>
      </c>
      <c r="BH638" s="83">
        <f>K638*AO638</f>
        <v>0</v>
      </c>
      <c r="BI638" s="83">
        <f>K638*AP638</f>
        <v>0</v>
      </c>
      <c r="BJ638" s="83">
        <f>K638*L638</f>
        <v>0</v>
      </c>
      <c r="BK638" s="83"/>
      <c r="BL638" s="83"/>
    </row>
    <row r="639" spans="1:13" ht="15" customHeight="1">
      <c r="A639" s="86"/>
      <c r="C639" s="87" t="s">
        <v>1051</v>
      </c>
      <c r="I639" s="87" t="s">
        <v>1052</v>
      </c>
      <c r="K639" s="88">
        <v>39.996</v>
      </c>
      <c r="M639" s="89"/>
    </row>
    <row r="640" spans="1:13" ht="13.5" customHeight="1">
      <c r="A640" s="86"/>
      <c r="B640" s="90" t="s">
        <v>1053</v>
      </c>
      <c r="C640" s="161" t="s">
        <v>1295</v>
      </c>
      <c r="D640" s="162"/>
      <c r="E640" s="162"/>
      <c r="F640" s="162"/>
      <c r="G640" s="162"/>
      <c r="H640" s="162"/>
      <c r="I640" s="162"/>
      <c r="J640" s="162"/>
      <c r="K640" s="162"/>
      <c r="L640" s="162"/>
      <c r="M640" s="163"/>
    </row>
    <row r="641" spans="1:64" ht="15" customHeight="1">
      <c r="A641" s="65" t="s">
        <v>1039</v>
      </c>
      <c r="B641" s="66" t="s">
        <v>1296</v>
      </c>
      <c r="C641" s="150" t="s">
        <v>1297</v>
      </c>
      <c r="D641" s="150"/>
      <c r="E641" s="150"/>
      <c r="F641" s="150"/>
      <c r="G641" s="150"/>
      <c r="H641" s="150"/>
      <c r="I641" s="150"/>
      <c r="J641" s="66" t="s">
        <v>293</v>
      </c>
      <c r="K641" s="83">
        <v>119.31018</v>
      </c>
      <c r="L641" s="108"/>
      <c r="M641" s="84">
        <f>K641*L641</f>
        <v>0</v>
      </c>
      <c r="Z641" s="83">
        <f>IF(AQ641="5",BJ641,0)</f>
        <v>0</v>
      </c>
      <c r="AB641" s="83">
        <f>IF(AQ641="1",BH641,0)</f>
        <v>0</v>
      </c>
      <c r="AC641" s="83">
        <f>IF(AQ641="1",BI641,0)</f>
        <v>0</v>
      </c>
      <c r="AD641" s="83">
        <f>IF(AQ641="7",BH641,0)</f>
        <v>0</v>
      </c>
      <c r="AE641" s="83">
        <f>IF(AQ641="7",BI641,0)</f>
        <v>0</v>
      </c>
      <c r="AF641" s="83">
        <f>IF(AQ641="2",BH641,0)</f>
        <v>0</v>
      </c>
      <c r="AG641" s="83">
        <f>IF(AQ641="2",BI641,0)</f>
        <v>0</v>
      </c>
      <c r="AH641" s="83">
        <f>IF(AQ641="0",BJ641,0)</f>
        <v>0</v>
      </c>
      <c r="AI641" s="72" t="s">
        <v>49</v>
      </c>
      <c r="AJ641" s="83">
        <f>IF(AN641=0,M641,0)</f>
        <v>0</v>
      </c>
      <c r="AK641" s="83">
        <f>IF(AN641=15,M641,0)</f>
        <v>0</v>
      </c>
      <c r="AL641" s="83">
        <f>IF(AN641=21,M641,0)</f>
        <v>0</v>
      </c>
      <c r="AN641" s="83">
        <v>21</v>
      </c>
      <c r="AO641" s="83">
        <f>L641*0</f>
        <v>0</v>
      </c>
      <c r="AP641" s="83">
        <f>L641*(1-0)</f>
        <v>0</v>
      </c>
      <c r="AQ641" s="85" t="s">
        <v>73</v>
      </c>
      <c r="AV641" s="83">
        <f>AW641+AX641</f>
        <v>0</v>
      </c>
      <c r="AW641" s="83">
        <f>K641*AO641</f>
        <v>0</v>
      </c>
      <c r="AX641" s="83">
        <f>K641*AP641</f>
        <v>0</v>
      </c>
      <c r="AY641" s="85" t="s">
        <v>997</v>
      </c>
      <c r="AZ641" s="85" t="s">
        <v>781</v>
      </c>
      <c r="BA641" s="72" t="s">
        <v>58</v>
      </c>
      <c r="BC641" s="83">
        <f>AW641+AX641</f>
        <v>0</v>
      </c>
      <c r="BD641" s="83">
        <f>L641/(100-BE641)*100</f>
        <v>0</v>
      </c>
      <c r="BE641" s="83">
        <v>0</v>
      </c>
      <c r="BF641" s="83">
        <f>640</f>
        <v>640</v>
      </c>
      <c r="BH641" s="83">
        <f>K641*AO641</f>
        <v>0</v>
      </c>
      <c r="BI641" s="83">
        <f>K641*AP641</f>
        <v>0</v>
      </c>
      <c r="BJ641" s="83">
        <f>K641*L641</f>
        <v>0</v>
      </c>
      <c r="BK641" s="83"/>
      <c r="BL641" s="83"/>
    </row>
    <row r="642" spans="1:13" ht="15" customHeight="1">
      <c r="A642" s="86"/>
      <c r="C642" s="87" t="s">
        <v>1057</v>
      </c>
      <c r="I642" s="87" t="s">
        <v>215</v>
      </c>
      <c r="K642" s="88">
        <v>184.1175</v>
      </c>
      <c r="M642" s="89"/>
    </row>
    <row r="643" spans="1:13" ht="15" customHeight="1">
      <c r="A643" s="86"/>
      <c r="C643" s="87" t="s">
        <v>1028</v>
      </c>
      <c r="I643" s="87" t="s">
        <v>108</v>
      </c>
      <c r="K643" s="88">
        <v>-39.48053</v>
      </c>
      <c r="M643" s="89"/>
    </row>
    <row r="644" spans="1:13" ht="15" customHeight="1">
      <c r="A644" s="86"/>
      <c r="C644" s="87" t="s">
        <v>1029</v>
      </c>
      <c r="I644" s="87" t="s">
        <v>110</v>
      </c>
      <c r="K644" s="88">
        <v>-25.326790000000003</v>
      </c>
      <c r="M644" s="89"/>
    </row>
    <row r="645" spans="1:13" ht="13.5" customHeight="1">
      <c r="A645" s="86"/>
      <c r="B645" s="90" t="s">
        <v>1053</v>
      </c>
      <c r="C645" s="161" t="s">
        <v>1295</v>
      </c>
      <c r="D645" s="162"/>
      <c r="E645" s="162"/>
      <c r="F645" s="162"/>
      <c r="G645" s="162"/>
      <c r="H645" s="162"/>
      <c r="I645" s="162"/>
      <c r="J645" s="162"/>
      <c r="K645" s="162"/>
      <c r="L645" s="162"/>
      <c r="M645" s="163"/>
    </row>
    <row r="646" spans="1:47" ht="15" customHeight="1">
      <c r="A646" s="78" t="s">
        <v>49</v>
      </c>
      <c r="B646" s="79" t="s">
        <v>49</v>
      </c>
      <c r="C646" s="168" t="s">
        <v>1058</v>
      </c>
      <c r="D646" s="168"/>
      <c r="E646" s="168"/>
      <c r="F646" s="168"/>
      <c r="G646" s="168"/>
      <c r="H646" s="168"/>
      <c r="I646" s="168"/>
      <c r="J646" s="80" t="s">
        <v>3</v>
      </c>
      <c r="K646" s="80" t="s">
        <v>3</v>
      </c>
      <c r="L646" s="80" t="s">
        <v>3</v>
      </c>
      <c r="M646" s="81">
        <f>SUM(M647:M659)</f>
        <v>0</v>
      </c>
      <c r="AI646" s="72" t="s">
        <v>49</v>
      </c>
      <c r="AS646" s="82">
        <f>SUM(AJ647:AJ659)</f>
        <v>0</v>
      </c>
      <c r="AT646" s="82">
        <f>SUM(AK647:AK659)</f>
        <v>0</v>
      </c>
      <c r="AU646" s="82">
        <f>SUM(AL647:AL659)</f>
        <v>0</v>
      </c>
    </row>
    <row r="647" spans="1:64" ht="15" customHeight="1">
      <c r="A647" s="65" t="s">
        <v>1046</v>
      </c>
      <c r="B647" s="66" t="s">
        <v>1060</v>
      </c>
      <c r="C647" s="150" t="s">
        <v>1061</v>
      </c>
      <c r="D647" s="150"/>
      <c r="E647" s="150"/>
      <c r="F647" s="150"/>
      <c r="G647" s="150"/>
      <c r="H647" s="150"/>
      <c r="I647" s="150"/>
      <c r="J647" s="66" t="s">
        <v>191</v>
      </c>
      <c r="K647" s="83">
        <v>7.3</v>
      </c>
      <c r="L647" s="108"/>
      <c r="M647" s="84">
        <f>K647*L647</f>
        <v>0</v>
      </c>
      <c r="Z647" s="83">
        <f>IF(AQ647="5",BJ647,0)</f>
        <v>0</v>
      </c>
      <c r="AB647" s="83">
        <f>IF(AQ647="1",BH647,0)</f>
        <v>0</v>
      </c>
      <c r="AC647" s="83">
        <f>IF(AQ647="1",BI647,0)</f>
        <v>0</v>
      </c>
      <c r="AD647" s="83">
        <f>IF(AQ647="7",BH647,0)</f>
        <v>0</v>
      </c>
      <c r="AE647" s="83">
        <f>IF(AQ647="7",BI647,0)</f>
        <v>0</v>
      </c>
      <c r="AF647" s="83">
        <f>IF(AQ647="2",BH647,0)</f>
        <v>0</v>
      </c>
      <c r="AG647" s="83">
        <f>IF(AQ647="2",BI647,0)</f>
        <v>0</v>
      </c>
      <c r="AH647" s="83">
        <f>IF(AQ647="0",BJ647,0)</f>
        <v>0</v>
      </c>
      <c r="AI647" s="72" t="s">
        <v>49</v>
      </c>
      <c r="AJ647" s="83">
        <f>IF(AN647=0,M647,0)</f>
        <v>0</v>
      </c>
      <c r="AK647" s="83">
        <f>IF(AN647=15,M647,0)</f>
        <v>0</v>
      </c>
      <c r="AL647" s="83">
        <f>IF(AN647=21,M647,0)</f>
        <v>0</v>
      </c>
      <c r="AN647" s="83">
        <v>21</v>
      </c>
      <c r="AO647" s="83">
        <f>L647*1</f>
        <v>0</v>
      </c>
      <c r="AP647" s="83">
        <f>L647*(1-1)</f>
        <v>0</v>
      </c>
      <c r="AQ647" s="85" t="s">
        <v>1062</v>
      </c>
      <c r="AV647" s="83">
        <f>AW647+AX647</f>
        <v>0</v>
      </c>
      <c r="AW647" s="83">
        <f>K647*AO647</f>
        <v>0</v>
      </c>
      <c r="AX647" s="83">
        <f>K647*AP647</f>
        <v>0</v>
      </c>
      <c r="AY647" s="85" t="s">
        <v>1063</v>
      </c>
      <c r="AZ647" s="85" t="s">
        <v>1064</v>
      </c>
      <c r="BA647" s="72" t="s">
        <v>58</v>
      </c>
      <c r="BC647" s="83">
        <f>AW647+AX647</f>
        <v>0</v>
      </c>
      <c r="BD647" s="83">
        <f>L647/(100-BE647)*100</f>
        <v>0</v>
      </c>
      <c r="BE647" s="83">
        <v>0</v>
      </c>
      <c r="BF647" s="83">
        <f>646</f>
        <v>646</v>
      </c>
      <c r="BH647" s="83">
        <f>K647*AO647</f>
        <v>0</v>
      </c>
      <c r="BI647" s="83">
        <f>K647*AP647</f>
        <v>0</v>
      </c>
      <c r="BJ647" s="83">
        <f>K647*L647</f>
        <v>0</v>
      </c>
      <c r="BK647" s="83"/>
      <c r="BL647" s="83"/>
    </row>
    <row r="648" spans="1:13" ht="15" customHeight="1">
      <c r="A648" s="86"/>
      <c r="C648" s="87" t="s">
        <v>1065</v>
      </c>
      <c r="I648" s="87" t="s">
        <v>49</v>
      </c>
      <c r="K648" s="88">
        <v>7.300000000000001</v>
      </c>
      <c r="M648" s="89"/>
    </row>
    <row r="649" spans="1:64" ht="15" customHeight="1">
      <c r="A649" s="65" t="s">
        <v>1048</v>
      </c>
      <c r="B649" s="66" t="s">
        <v>1067</v>
      </c>
      <c r="C649" s="150" t="s">
        <v>1068</v>
      </c>
      <c r="D649" s="150"/>
      <c r="E649" s="150"/>
      <c r="F649" s="150"/>
      <c r="G649" s="150"/>
      <c r="H649" s="150"/>
      <c r="I649" s="150"/>
      <c r="J649" s="66" t="s">
        <v>55</v>
      </c>
      <c r="K649" s="83">
        <v>6</v>
      </c>
      <c r="L649" s="108"/>
      <c r="M649" s="84">
        <f>K649*L649</f>
        <v>0</v>
      </c>
      <c r="Z649" s="83">
        <f>IF(AQ649="5",BJ649,0)</f>
        <v>0</v>
      </c>
      <c r="AB649" s="83">
        <f>IF(AQ649="1",BH649,0)</f>
        <v>0</v>
      </c>
      <c r="AC649" s="83">
        <f>IF(AQ649="1",BI649,0)</f>
        <v>0</v>
      </c>
      <c r="AD649" s="83">
        <f>IF(AQ649="7",BH649,0)</f>
        <v>0</v>
      </c>
      <c r="AE649" s="83">
        <f>IF(AQ649="7",BI649,0)</f>
        <v>0</v>
      </c>
      <c r="AF649" s="83">
        <f>IF(AQ649="2",BH649,0)</f>
        <v>0</v>
      </c>
      <c r="AG649" s="83">
        <f>IF(AQ649="2",BI649,0)</f>
        <v>0</v>
      </c>
      <c r="AH649" s="83">
        <f>IF(AQ649="0",BJ649,0)</f>
        <v>0</v>
      </c>
      <c r="AI649" s="72" t="s">
        <v>49</v>
      </c>
      <c r="AJ649" s="83">
        <f>IF(AN649=0,M649,0)</f>
        <v>0</v>
      </c>
      <c r="AK649" s="83">
        <f>IF(AN649=15,M649,0)</f>
        <v>0</v>
      </c>
      <c r="AL649" s="83">
        <f>IF(AN649=21,M649,0)</f>
        <v>0</v>
      </c>
      <c r="AN649" s="83">
        <v>21</v>
      </c>
      <c r="AO649" s="83">
        <f>L649*1</f>
        <v>0</v>
      </c>
      <c r="AP649" s="83">
        <f>L649*(1-1)</f>
        <v>0</v>
      </c>
      <c r="AQ649" s="85" t="s">
        <v>1062</v>
      </c>
      <c r="AV649" s="83">
        <f>AW649+AX649</f>
        <v>0</v>
      </c>
      <c r="AW649" s="83">
        <f>K649*AO649</f>
        <v>0</v>
      </c>
      <c r="AX649" s="83">
        <f>K649*AP649</f>
        <v>0</v>
      </c>
      <c r="AY649" s="85" t="s">
        <v>1063</v>
      </c>
      <c r="AZ649" s="85" t="s">
        <v>1064</v>
      </c>
      <c r="BA649" s="72" t="s">
        <v>58</v>
      </c>
      <c r="BC649" s="83">
        <f>AW649+AX649</f>
        <v>0</v>
      </c>
      <c r="BD649" s="83">
        <f>L649/(100-BE649)*100</f>
        <v>0</v>
      </c>
      <c r="BE649" s="83">
        <v>0</v>
      </c>
      <c r="BF649" s="83">
        <f>648</f>
        <v>648</v>
      </c>
      <c r="BH649" s="83">
        <f>K649*AO649</f>
        <v>0</v>
      </c>
      <c r="BI649" s="83">
        <f>K649*AP649</f>
        <v>0</v>
      </c>
      <c r="BJ649" s="83">
        <f>K649*L649</f>
        <v>0</v>
      </c>
      <c r="BK649" s="83"/>
      <c r="BL649" s="83"/>
    </row>
    <row r="650" spans="1:13" ht="15" customHeight="1">
      <c r="A650" s="86"/>
      <c r="C650" s="87" t="s">
        <v>59</v>
      </c>
      <c r="I650" s="87" t="s">
        <v>49</v>
      </c>
      <c r="K650" s="88">
        <v>6.000000000000001</v>
      </c>
      <c r="M650" s="89"/>
    </row>
    <row r="651" spans="1:64" ht="15" customHeight="1">
      <c r="A651" s="65" t="s">
        <v>1055</v>
      </c>
      <c r="B651" s="66" t="s">
        <v>1070</v>
      </c>
      <c r="C651" s="150" t="s">
        <v>1071</v>
      </c>
      <c r="D651" s="150"/>
      <c r="E651" s="150"/>
      <c r="F651" s="150"/>
      <c r="G651" s="150"/>
      <c r="H651" s="150"/>
      <c r="I651" s="150"/>
      <c r="J651" s="66" t="s">
        <v>55</v>
      </c>
      <c r="K651" s="83">
        <v>3</v>
      </c>
      <c r="L651" s="108"/>
      <c r="M651" s="84">
        <f>K651*L651</f>
        <v>0</v>
      </c>
      <c r="Z651" s="83">
        <f>IF(AQ651="5",BJ651,0)</f>
        <v>0</v>
      </c>
      <c r="AB651" s="83">
        <f>IF(AQ651="1",BH651,0)</f>
        <v>0</v>
      </c>
      <c r="AC651" s="83">
        <f>IF(AQ651="1",BI651,0)</f>
        <v>0</v>
      </c>
      <c r="AD651" s="83">
        <f>IF(AQ651="7",BH651,0)</f>
        <v>0</v>
      </c>
      <c r="AE651" s="83">
        <f>IF(AQ651="7",BI651,0)</f>
        <v>0</v>
      </c>
      <c r="AF651" s="83">
        <f>IF(AQ651="2",BH651,0)</f>
        <v>0</v>
      </c>
      <c r="AG651" s="83">
        <f>IF(AQ651="2",BI651,0)</f>
        <v>0</v>
      </c>
      <c r="AH651" s="83">
        <f>IF(AQ651="0",BJ651,0)</f>
        <v>0</v>
      </c>
      <c r="AI651" s="72" t="s">
        <v>49</v>
      </c>
      <c r="AJ651" s="83">
        <f>IF(AN651=0,M651,0)</f>
        <v>0</v>
      </c>
      <c r="AK651" s="83">
        <f>IF(AN651=15,M651,0)</f>
        <v>0</v>
      </c>
      <c r="AL651" s="83">
        <f>IF(AN651=21,M651,0)</f>
        <v>0</v>
      </c>
      <c r="AN651" s="83">
        <v>21</v>
      </c>
      <c r="AO651" s="83">
        <f>L651*1</f>
        <v>0</v>
      </c>
      <c r="AP651" s="83">
        <f>L651*(1-1)</f>
        <v>0</v>
      </c>
      <c r="AQ651" s="85" t="s">
        <v>1062</v>
      </c>
      <c r="AV651" s="83">
        <f>AW651+AX651</f>
        <v>0</v>
      </c>
      <c r="AW651" s="83">
        <f>K651*AO651</f>
        <v>0</v>
      </c>
      <c r="AX651" s="83">
        <f>K651*AP651</f>
        <v>0</v>
      </c>
      <c r="AY651" s="85" t="s">
        <v>1063</v>
      </c>
      <c r="AZ651" s="85" t="s">
        <v>1064</v>
      </c>
      <c r="BA651" s="72" t="s">
        <v>58</v>
      </c>
      <c r="BC651" s="83">
        <f>AW651+AX651</f>
        <v>0</v>
      </c>
      <c r="BD651" s="83">
        <f>L651/(100-BE651)*100</f>
        <v>0</v>
      </c>
      <c r="BE651" s="83">
        <v>0</v>
      </c>
      <c r="BF651" s="83">
        <f>650</f>
        <v>650</v>
      </c>
      <c r="BH651" s="83">
        <f>K651*AO651</f>
        <v>0</v>
      </c>
      <c r="BI651" s="83">
        <f>K651*AP651</f>
        <v>0</v>
      </c>
      <c r="BJ651" s="83">
        <f>K651*L651</f>
        <v>0</v>
      </c>
      <c r="BK651" s="83"/>
      <c r="BL651" s="83"/>
    </row>
    <row r="652" spans="1:13" ht="15" customHeight="1">
      <c r="A652" s="86"/>
      <c r="C652" s="87" t="s">
        <v>65</v>
      </c>
      <c r="I652" s="87" t="s">
        <v>49</v>
      </c>
      <c r="K652" s="88">
        <v>3.0000000000000004</v>
      </c>
      <c r="M652" s="89"/>
    </row>
    <row r="653" spans="1:64" ht="15" customHeight="1">
      <c r="A653" s="65" t="s">
        <v>1059</v>
      </c>
      <c r="B653" s="66" t="s">
        <v>1073</v>
      </c>
      <c r="C653" s="150" t="s">
        <v>1074</v>
      </c>
      <c r="D653" s="150"/>
      <c r="E653" s="150"/>
      <c r="F653" s="150"/>
      <c r="G653" s="150"/>
      <c r="H653" s="150"/>
      <c r="I653" s="150"/>
      <c r="J653" s="66" t="s">
        <v>55</v>
      </c>
      <c r="K653" s="83">
        <v>9</v>
      </c>
      <c r="L653" s="108"/>
      <c r="M653" s="84">
        <f>K653*L653</f>
        <v>0</v>
      </c>
      <c r="Z653" s="83">
        <f>IF(AQ653="5",BJ653,0)</f>
        <v>0</v>
      </c>
      <c r="AB653" s="83">
        <f>IF(AQ653="1",BH653,0)</f>
        <v>0</v>
      </c>
      <c r="AC653" s="83">
        <f>IF(AQ653="1",BI653,0)</f>
        <v>0</v>
      </c>
      <c r="AD653" s="83">
        <f>IF(AQ653="7",BH653,0)</f>
        <v>0</v>
      </c>
      <c r="AE653" s="83">
        <f>IF(AQ653="7",BI653,0)</f>
        <v>0</v>
      </c>
      <c r="AF653" s="83">
        <f>IF(AQ653="2",BH653,0)</f>
        <v>0</v>
      </c>
      <c r="AG653" s="83">
        <f>IF(AQ653="2",BI653,0)</f>
        <v>0</v>
      </c>
      <c r="AH653" s="83">
        <f>IF(AQ653="0",BJ653,0)</f>
        <v>0</v>
      </c>
      <c r="AI653" s="72" t="s">
        <v>49</v>
      </c>
      <c r="AJ653" s="83">
        <f>IF(AN653=0,M653,0)</f>
        <v>0</v>
      </c>
      <c r="AK653" s="83">
        <f>IF(AN653=15,M653,0)</f>
        <v>0</v>
      </c>
      <c r="AL653" s="83">
        <f>IF(AN653=21,M653,0)</f>
        <v>0</v>
      </c>
      <c r="AN653" s="83">
        <v>21</v>
      </c>
      <c r="AO653" s="83">
        <f>L653*1</f>
        <v>0</v>
      </c>
      <c r="AP653" s="83">
        <f>L653*(1-1)</f>
        <v>0</v>
      </c>
      <c r="AQ653" s="85" t="s">
        <v>1062</v>
      </c>
      <c r="AV653" s="83">
        <f>AW653+AX653</f>
        <v>0</v>
      </c>
      <c r="AW653" s="83">
        <f>K653*AO653</f>
        <v>0</v>
      </c>
      <c r="AX653" s="83">
        <f>K653*AP653</f>
        <v>0</v>
      </c>
      <c r="AY653" s="85" t="s">
        <v>1063</v>
      </c>
      <c r="AZ653" s="85" t="s">
        <v>1064</v>
      </c>
      <c r="BA653" s="72" t="s">
        <v>58</v>
      </c>
      <c r="BC653" s="83">
        <f>AW653+AX653</f>
        <v>0</v>
      </c>
      <c r="BD653" s="83">
        <f>L653/(100-BE653)*100</f>
        <v>0</v>
      </c>
      <c r="BE653" s="83">
        <v>0</v>
      </c>
      <c r="BF653" s="83">
        <f>652</f>
        <v>652</v>
      </c>
      <c r="BH653" s="83">
        <f>K653*AO653</f>
        <v>0</v>
      </c>
      <c r="BI653" s="83">
        <f>K653*AP653</f>
        <v>0</v>
      </c>
      <c r="BJ653" s="83">
        <f>K653*L653</f>
        <v>0</v>
      </c>
      <c r="BK653" s="83"/>
      <c r="BL653" s="83"/>
    </row>
    <row r="654" spans="1:13" ht="15" customHeight="1">
      <c r="A654" s="86"/>
      <c r="C654" s="87" t="s">
        <v>101</v>
      </c>
      <c r="I654" s="87" t="s">
        <v>49</v>
      </c>
      <c r="K654" s="88">
        <v>9</v>
      </c>
      <c r="M654" s="89"/>
    </row>
    <row r="655" spans="1:64" ht="15" customHeight="1">
      <c r="A655" s="65" t="s">
        <v>1066</v>
      </c>
      <c r="B655" s="66" t="s">
        <v>1075</v>
      </c>
      <c r="C655" s="150" t="s">
        <v>1076</v>
      </c>
      <c r="D655" s="150"/>
      <c r="E655" s="150"/>
      <c r="F655" s="150"/>
      <c r="G655" s="150"/>
      <c r="H655" s="150"/>
      <c r="I655" s="150"/>
      <c r="J655" s="66" t="s">
        <v>55</v>
      </c>
      <c r="K655" s="83">
        <v>4</v>
      </c>
      <c r="L655" s="108"/>
      <c r="M655" s="84">
        <f>K655*L655</f>
        <v>0</v>
      </c>
      <c r="Z655" s="83">
        <f>IF(AQ655="5",BJ655,0)</f>
        <v>0</v>
      </c>
      <c r="AB655" s="83">
        <f>IF(AQ655="1",BH655,0)</f>
        <v>0</v>
      </c>
      <c r="AC655" s="83">
        <f>IF(AQ655="1",BI655,0)</f>
        <v>0</v>
      </c>
      <c r="AD655" s="83">
        <f>IF(AQ655="7",BH655,0)</f>
        <v>0</v>
      </c>
      <c r="AE655" s="83">
        <f>IF(AQ655="7",BI655,0)</f>
        <v>0</v>
      </c>
      <c r="AF655" s="83">
        <f>IF(AQ655="2",BH655,0)</f>
        <v>0</v>
      </c>
      <c r="AG655" s="83">
        <f>IF(AQ655="2",BI655,0)</f>
        <v>0</v>
      </c>
      <c r="AH655" s="83">
        <f>IF(AQ655="0",BJ655,0)</f>
        <v>0</v>
      </c>
      <c r="AI655" s="72" t="s">
        <v>49</v>
      </c>
      <c r="AJ655" s="83">
        <f>IF(AN655=0,M655,0)</f>
        <v>0</v>
      </c>
      <c r="AK655" s="83">
        <f>IF(AN655=15,M655,0)</f>
        <v>0</v>
      </c>
      <c r="AL655" s="83">
        <f>IF(AN655=21,M655,0)</f>
        <v>0</v>
      </c>
      <c r="AN655" s="83">
        <v>21</v>
      </c>
      <c r="AO655" s="83">
        <f>L655*1</f>
        <v>0</v>
      </c>
      <c r="AP655" s="83">
        <f>L655*(1-1)</f>
        <v>0</v>
      </c>
      <c r="AQ655" s="85" t="s">
        <v>1062</v>
      </c>
      <c r="AV655" s="83">
        <f>AW655+AX655</f>
        <v>0</v>
      </c>
      <c r="AW655" s="83">
        <f>K655*AO655</f>
        <v>0</v>
      </c>
      <c r="AX655" s="83">
        <f>K655*AP655</f>
        <v>0</v>
      </c>
      <c r="AY655" s="85" t="s">
        <v>1063</v>
      </c>
      <c r="AZ655" s="85" t="s">
        <v>1064</v>
      </c>
      <c r="BA655" s="72" t="s">
        <v>58</v>
      </c>
      <c r="BC655" s="83">
        <f>AW655+AX655</f>
        <v>0</v>
      </c>
      <c r="BD655" s="83">
        <f>L655/(100-BE655)*100</f>
        <v>0</v>
      </c>
      <c r="BE655" s="83">
        <v>0</v>
      </c>
      <c r="BF655" s="83">
        <f>654</f>
        <v>654</v>
      </c>
      <c r="BH655" s="83">
        <f>K655*AO655</f>
        <v>0</v>
      </c>
      <c r="BI655" s="83">
        <f>K655*AP655</f>
        <v>0</v>
      </c>
      <c r="BJ655" s="83">
        <f>K655*L655</f>
        <v>0</v>
      </c>
      <c r="BK655" s="83"/>
      <c r="BL655" s="83"/>
    </row>
    <row r="656" spans="1:13" ht="15" customHeight="1">
      <c r="A656" s="86"/>
      <c r="C656" s="87" t="s">
        <v>68</v>
      </c>
      <c r="I656" s="87" t="s">
        <v>49</v>
      </c>
      <c r="K656" s="88">
        <v>4</v>
      </c>
      <c r="M656" s="89"/>
    </row>
    <row r="657" spans="1:64" ht="15" customHeight="1">
      <c r="A657" s="65" t="s">
        <v>1069</v>
      </c>
      <c r="B657" s="66" t="s">
        <v>1077</v>
      </c>
      <c r="C657" s="150" t="s">
        <v>1078</v>
      </c>
      <c r="D657" s="150"/>
      <c r="E657" s="150"/>
      <c r="F657" s="150"/>
      <c r="G657" s="150"/>
      <c r="H657" s="150"/>
      <c r="I657" s="150"/>
      <c r="J657" s="66" t="s">
        <v>55</v>
      </c>
      <c r="K657" s="83">
        <v>4</v>
      </c>
      <c r="L657" s="108"/>
      <c r="M657" s="84">
        <f>K657*L657</f>
        <v>0</v>
      </c>
      <c r="Z657" s="83">
        <f>IF(AQ657="5",BJ657,0)</f>
        <v>0</v>
      </c>
      <c r="AB657" s="83">
        <f>IF(AQ657="1",BH657,0)</f>
        <v>0</v>
      </c>
      <c r="AC657" s="83">
        <f>IF(AQ657="1",BI657,0)</f>
        <v>0</v>
      </c>
      <c r="AD657" s="83">
        <f>IF(AQ657="7",BH657,0)</f>
        <v>0</v>
      </c>
      <c r="AE657" s="83">
        <f>IF(AQ657="7",BI657,0)</f>
        <v>0</v>
      </c>
      <c r="AF657" s="83">
        <f>IF(AQ657="2",BH657,0)</f>
        <v>0</v>
      </c>
      <c r="AG657" s="83">
        <f>IF(AQ657="2",BI657,0)</f>
        <v>0</v>
      </c>
      <c r="AH657" s="83">
        <f>IF(AQ657="0",BJ657,0)</f>
        <v>0</v>
      </c>
      <c r="AI657" s="72" t="s">
        <v>49</v>
      </c>
      <c r="AJ657" s="83">
        <f>IF(AN657=0,M657,0)</f>
        <v>0</v>
      </c>
      <c r="AK657" s="83">
        <f>IF(AN657=15,M657,0)</f>
        <v>0</v>
      </c>
      <c r="AL657" s="83">
        <f>IF(AN657=21,M657,0)</f>
        <v>0</v>
      </c>
      <c r="AN657" s="83">
        <v>21</v>
      </c>
      <c r="AO657" s="83">
        <f>L657*1</f>
        <v>0</v>
      </c>
      <c r="AP657" s="83">
        <f>L657*(1-1)</f>
        <v>0</v>
      </c>
      <c r="AQ657" s="85" t="s">
        <v>1062</v>
      </c>
      <c r="AV657" s="83">
        <f>AW657+AX657</f>
        <v>0</v>
      </c>
      <c r="AW657" s="83">
        <f>K657*AO657</f>
        <v>0</v>
      </c>
      <c r="AX657" s="83">
        <f>K657*AP657</f>
        <v>0</v>
      </c>
      <c r="AY657" s="85" t="s">
        <v>1063</v>
      </c>
      <c r="AZ657" s="85" t="s">
        <v>1064</v>
      </c>
      <c r="BA657" s="72" t="s">
        <v>58</v>
      </c>
      <c r="BC657" s="83">
        <f>AW657+AX657</f>
        <v>0</v>
      </c>
      <c r="BD657" s="83">
        <f>L657/(100-BE657)*100</f>
        <v>0</v>
      </c>
      <c r="BE657" s="83">
        <v>0</v>
      </c>
      <c r="BF657" s="83">
        <f>656</f>
        <v>656</v>
      </c>
      <c r="BH657" s="83">
        <f>K657*AO657</f>
        <v>0</v>
      </c>
      <c r="BI657" s="83">
        <f>K657*AP657</f>
        <v>0</v>
      </c>
      <c r="BJ657" s="83">
        <f>K657*L657</f>
        <v>0</v>
      </c>
      <c r="BK657" s="83"/>
      <c r="BL657" s="83"/>
    </row>
    <row r="658" spans="1:13" ht="15" customHeight="1">
      <c r="A658" s="86"/>
      <c r="C658" s="87" t="s">
        <v>68</v>
      </c>
      <c r="I658" s="87" t="s">
        <v>49</v>
      </c>
      <c r="K658" s="88">
        <v>4</v>
      </c>
      <c r="M658" s="89"/>
    </row>
    <row r="659" spans="1:64" ht="15" customHeight="1">
      <c r="A659" s="100" t="s">
        <v>1072</v>
      </c>
      <c r="B659" s="101" t="s">
        <v>1079</v>
      </c>
      <c r="C659" s="170" t="s">
        <v>1080</v>
      </c>
      <c r="D659" s="170"/>
      <c r="E659" s="170"/>
      <c r="F659" s="170"/>
      <c r="G659" s="170"/>
      <c r="H659" s="170"/>
      <c r="I659" s="170"/>
      <c r="J659" s="101" t="s">
        <v>293</v>
      </c>
      <c r="K659" s="102">
        <v>10771.63734</v>
      </c>
      <c r="L659" s="109"/>
      <c r="M659" s="103">
        <f>K659*L659</f>
        <v>0</v>
      </c>
      <c r="Z659" s="83">
        <f>IF(AQ659="5",BJ659,0)</f>
        <v>0</v>
      </c>
      <c r="AB659" s="83">
        <f>IF(AQ659="1",BH659,0)</f>
        <v>0</v>
      </c>
      <c r="AC659" s="83">
        <f>IF(AQ659="1",BI659,0)</f>
        <v>0</v>
      </c>
      <c r="AD659" s="83">
        <f>IF(AQ659="7",BH659,0)</f>
        <v>0</v>
      </c>
      <c r="AE659" s="83">
        <f>IF(AQ659="7",BI659,0)</f>
        <v>0</v>
      </c>
      <c r="AF659" s="83">
        <f>IF(AQ659="2",BH659,0)</f>
        <v>0</v>
      </c>
      <c r="AG659" s="83">
        <f>IF(AQ659="2",BI659,0)</f>
        <v>0</v>
      </c>
      <c r="AH659" s="83">
        <f>IF(AQ659="0",BJ659,0)</f>
        <v>0</v>
      </c>
      <c r="AI659" s="72" t="s">
        <v>49</v>
      </c>
      <c r="AJ659" s="83">
        <f>IF(AN659=0,M659,0)</f>
        <v>0</v>
      </c>
      <c r="AK659" s="83">
        <f>IF(AN659=15,M659,0)</f>
        <v>0</v>
      </c>
      <c r="AL659" s="83">
        <f>IF(AN659=21,M659,0)</f>
        <v>0</v>
      </c>
      <c r="AN659" s="83">
        <v>21</v>
      </c>
      <c r="AO659" s="83">
        <f>L659*0</f>
        <v>0</v>
      </c>
      <c r="AP659" s="83">
        <f>L659*(1-0)</f>
        <v>0</v>
      </c>
      <c r="AQ659" s="85" t="s">
        <v>73</v>
      </c>
      <c r="AV659" s="83">
        <f>AW659+AX659</f>
        <v>0</v>
      </c>
      <c r="AW659" s="83">
        <f>K659*AO659</f>
        <v>0</v>
      </c>
      <c r="AX659" s="83">
        <f>K659*AP659</f>
        <v>0</v>
      </c>
      <c r="AY659" s="85" t="s">
        <v>1063</v>
      </c>
      <c r="AZ659" s="85" t="s">
        <v>1064</v>
      </c>
      <c r="BA659" s="72" t="s">
        <v>58</v>
      </c>
      <c r="BC659" s="83">
        <f>AW659+AX659</f>
        <v>0</v>
      </c>
      <c r="BD659" s="83">
        <f>L659/(100-BE659)*100</f>
        <v>0</v>
      </c>
      <c r="BE659" s="83">
        <v>0</v>
      </c>
      <c r="BF659" s="83">
        <f>658</f>
        <v>658</v>
      </c>
      <c r="BH659" s="83">
        <f>K659*AO659</f>
        <v>0</v>
      </c>
      <c r="BI659" s="83">
        <f>K659*AP659</f>
        <v>0</v>
      </c>
      <c r="BJ659" s="83">
        <f>K659*L659</f>
        <v>0</v>
      </c>
      <c r="BK659" s="83"/>
      <c r="BL659" s="83"/>
    </row>
    <row r="660" ht="15" customHeight="1">
      <c r="M660" s="104">
        <f>M12+M110+M119+M138+M155+M168+M174+M177+M189+M236+M259+M271+M275+M319+M324+M424+M431+M438+M472+M580+M592+M608+M646</f>
        <v>0</v>
      </c>
    </row>
    <row r="661" ht="15" customHeight="1">
      <c r="A661" s="105" t="s">
        <v>1053</v>
      </c>
    </row>
    <row r="662" spans="1:13" ht="54" customHeight="1">
      <c r="A662" s="152" t="s">
        <v>1082</v>
      </c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</row>
  </sheetData>
  <sheetProtection algorithmName="SHA-512" hashValue="ZMmkR1j47yl1spddm6IW7UqjDZpglXg+d/AOdc1BWXkocayjxmuZU4OK0WHEMy6cnODEzNNwizoD+gBfTVTWNQ==" saltValue="dN1/PjQLsZGhA7fZuwx98g==" spinCount="100000" sheet="1" objects="1" scenarios="1"/>
  <mergeCells count="340">
    <mergeCell ref="C659:I659"/>
    <mergeCell ref="A662:M662"/>
    <mergeCell ref="C647:I647"/>
    <mergeCell ref="C649:I649"/>
    <mergeCell ref="C651:I651"/>
    <mergeCell ref="C653:I653"/>
    <mergeCell ref="C655:I655"/>
    <mergeCell ref="C657:I657"/>
    <mergeCell ref="C637:M637"/>
    <mergeCell ref="C638:I638"/>
    <mergeCell ref="C640:M640"/>
    <mergeCell ref="C641:I641"/>
    <mergeCell ref="C645:M645"/>
    <mergeCell ref="C646:I646"/>
    <mergeCell ref="C622:I622"/>
    <mergeCell ref="C624:I624"/>
    <mergeCell ref="C626:I626"/>
    <mergeCell ref="C631:M631"/>
    <mergeCell ref="C632:I632"/>
    <mergeCell ref="C636:M636"/>
    <mergeCell ref="C608:I608"/>
    <mergeCell ref="C609:I609"/>
    <mergeCell ref="C613:I613"/>
    <mergeCell ref="C617:M617"/>
    <mergeCell ref="C618:I618"/>
    <mergeCell ref="C621:M621"/>
    <mergeCell ref="C595:I595"/>
    <mergeCell ref="C598:I598"/>
    <mergeCell ref="C600:I600"/>
    <mergeCell ref="C602:I602"/>
    <mergeCell ref="C604:I604"/>
    <mergeCell ref="C606:I606"/>
    <mergeCell ref="C583:M583"/>
    <mergeCell ref="C584:I584"/>
    <mergeCell ref="C586:I586"/>
    <mergeCell ref="C590:I590"/>
    <mergeCell ref="C592:I592"/>
    <mergeCell ref="C593:I593"/>
    <mergeCell ref="C574:I574"/>
    <mergeCell ref="C576:M576"/>
    <mergeCell ref="C577:I577"/>
    <mergeCell ref="C579:M579"/>
    <mergeCell ref="C580:I580"/>
    <mergeCell ref="C581:I581"/>
    <mergeCell ref="C565:I565"/>
    <mergeCell ref="C567:M567"/>
    <mergeCell ref="C568:I568"/>
    <mergeCell ref="C570:M570"/>
    <mergeCell ref="C571:I571"/>
    <mergeCell ref="C573:M573"/>
    <mergeCell ref="C556:I556"/>
    <mergeCell ref="C558:M558"/>
    <mergeCell ref="C559:I559"/>
    <mergeCell ref="C561:M561"/>
    <mergeCell ref="C562:I562"/>
    <mergeCell ref="C564:M564"/>
    <mergeCell ref="C547:I547"/>
    <mergeCell ref="C549:M549"/>
    <mergeCell ref="C550:I550"/>
    <mergeCell ref="C552:M552"/>
    <mergeCell ref="C553:I553"/>
    <mergeCell ref="C555:M555"/>
    <mergeCell ref="C538:I538"/>
    <mergeCell ref="C540:M540"/>
    <mergeCell ref="C541:I541"/>
    <mergeCell ref="C543:M543"/>
    <mergeCell ref="C544:I544"/>
    <mergeCell ref="C546:M546"/>
    <mergeCell ref="C526:M526"/>
    <mergeCell ref="C527:I527"/>
    <mergeCell ref="C529:I529"/>
    <mergeCell ref="C530:M530"/>
    <mergeCell ref="C532:I532"/>
    <mergeCell ref="C534:I534"/>
    <mergeCell ref="C513:I513"/>
    <mergeCell ref="C516:I516"/>
    <mergeCell ref="C518:I518"/>
    <mergeCell ref="C520:I520"/>
    <mergeCell ref="C523:I523"/>
    <mergeCell ref="C525:M525"/>
    <mergeCell ref="C496:M496"/>
    <mergeCell ref="C497:I497"/>
    <mergeCell ref="C499:I499"/>
    <mergeCell ref="C503:I503"/>
    <mergeCell ref="C507:I507"/>
    <mergeCell ref="C509:I509"/>
    <mergeCell ref="C480:I480"/>
    <mergeCell ref="C483:I483"/>
    <mergeCell ref="C485:M485"/>
    <mergeCell ref="C486:I486"/>
    <mergeCell ref="C489:I489"/>
    <mergeCell ref="C493:I493"/>
    <mergeCell ref="C469:M469"/>
    <mergeCell ref="C471:M471"/>
    <mergeCell ref="C472:I472"/>
    <mergeCell ref="C473:I473"/>
    <mergeCell ref="C476:M476"/>
    <mergeCell ref="C477:I477"/>
    <mergeCell ref="C490:M490"/>
    <mergeCell ref="C460:I460"/>
    <mergeCell ref="C462:M462"/>
    <mergeCell ref="C463:I463"/>
    <mergeCell ref="C465:M465"/>
    <mergeCell ref="C466:I466"/>
    <mergeCell ref="C468:I468"/>
    <mergeCell ref="C450:I450"/>
    <mergeCell ref="C452:I452"/>
    <mergeCell ref="C454:I454"/>
    <mergeCell ref="C456:I456"/>
    <mergeCell ref="C457:M457"/>
    <mergeCell ref="C459:M459"/>
    <mergeCell ref="C439:I439"/>
    <mergeCell ref="C441:I441"/>
    <mergeCell ref="C443:M443"/>
    <mergeCell ref="C444:I444"/>
    <mergeCell ref="C446:I446"/>
    <mergeCell ref="C448:I448"/>
    <mergeCell ref="C431:I431"/>
    <mergeCell ref="C432:I432"/>
    <mergeCell ref="C433:M433"/>
    <mergeCell ref="C435:M435"/>
    <mergeCell ref="C436:I436"/>
    <mergeCell ref="C438:I438"/>
    <mergeCell ref="C421:I421"/>
    <mergeCell ref="C424:I424"/>
    <mergeCell ref="C425:I425"/>
    <mergeCell ref="C426:M426"/>
    <mergeCell ref="C428:I428"/>
    <mergeCell ref="C429:M429"/>
    <mergeCell ref="C411:I411"/>
    <mergeCell ref="C413:M413"/>
    <mergeCell ref="C414:I414"/>
    <mergeCell ref="C417:M417"/>
    <mergeCell ref="C418:I418"/>
    <mergeCell ref="C420:M420"/>
    <mergeCell ref="C397:I397"/>
    <mergeCell ref="C400:I400"/>
    <mergeCell ref="C403:I403"/>
    <mergeCell ref="C406:I406"/>
    <mergeCell ref="C408:I408"/>
    <mergeCell ref="C410:M410"/>
    <mergeCell ref="C376:I376"/>
    <mergeCell ref="C382:I382"/>
    <mergeCell ref="C388:M388"/>
    <mergeCell ref="C389:I389"/>
    <mergeCell ref="C392:I392"/>
    <mergeCell ref="C396:M396"/>
    <mergeCell ref="C357:M357"/>
    <mergeCell ref="C358:I358"/>
    <mergeCell ref="C363:M363"/>
    <mergeCell ref="C364:I364"/>
    <mergeCell ref="C370:I370"/>
    <mergeCell ref="C374:I374"/>
    <mergeCell ref="C348:I348"/>
    <mergeCell ref="C350:M350"/>
    <mergeCell ref="C351:I351"/>
    <mergeCell ref="C353:M353"/>
    <mergeCell ref="C354:I354"/>
    <mergeCell ref="C355:M355"/>
    <mergeCell ref="C325:I325"/>
    <mergeCell ref="C330:M330"/>
    <mergeCell ref="C331:I331"/>
    <mergeCell ref="C338:I338"/>
    <mergeCell ref="C345:M345"/>
    <mergeCell ref="C346:I346"/>
    <mergeCell ref="C316:I316"/>
    <mergeCell ref="C317:M317"/>
    <mergeCell ref="C319:I319"/>
    <mergeCell ref="C320:I320"/>
    <mergeCell ref="C322:I322"/>
    <mergeCell ref="C324:I324"/>
    <mergeCell ref="C299:M299"/>
    <mergeCell ref="C304:I304"/>
    <mergeCell ref="C305:M305"/>
    <mergeCell ref="C311:I311"/>
    <mergeCell ref="C312:M312"/>
    <mergeCell ref="C314:I314"/>
    <mergeCell ref="C278:M278"/>
    <mergeCell ref="C279:I279"/>
    <mergeCell ref="C281:I281"/>
    <mergeCell ref="C288:I288"/>
    <mergeCell ref="C293:I293"/>
    <mergeCell ref="C298:I298"/>
    <mergeCell ref="C269:I269"/>
    <mergeCell ref="C271:I271"/>
    <mergeCell ref="C272:I272"/>
    <mergeCell ref="C274:M274"/>
    <mergeCell ref="C275:I275"/>
    <mergeCell ref="C276:I276"/>
    <mergeCell ref="C259:I259"/>
    <mergeCell ref="C260:I260"/>
    <mergeCell ref="C262:M262"/>
    <mergeCell ref="C263:I263"/>
    <mergeCell ref="C265:I265"/>
    <mergeCell ref="C267:I267"/>
    <mergeCell ref="C250:M250"/>
    <mergeCell ref="C251:I251"/>
    <mergeCell ref="C253:I253"/>
    <mergeCell ref="C255:M255"/>
    <mergeCell ref="C256:I256"/>
    <mergeCell ref="C258:M258"/>
    <mergeCell ref="C240:I240"/>
    <mergeCell ref="C242:M242"/>
    <mergeCell ref="C243:I243"/>
    <mergeCell ref="C245:I245"/>
    <mergeCell ref="C247:M247"/>
    <mergeCell ref="C248:I248"/>
    <mergeCell ref="C225:I225"/>
    <mergeCell ref="C232:I232"/>
    <mergeCell ref="C234:I234"/>
    <mergeCell ref="C236:I236"/>
    <mergeCell ref="C237:I237"/>
    <mergeCell ref="C239:M239"/>
    <mergeCell ref="C207:I207"/>
    <mergeCell ref="C208:M208"/>
    <mergeCell ref="C210:I210"/>
    <mergeCell ref="C212:I212"/>
    <mergeCell ref="C217:I217"/>
    <mergeCell ref="C224:M224"/>
    <mergeCell ref="C198:M198"/>
    <mergeCell ref="C199:I199"/>
    <mergeCell ref="C201:M201"/>
    <mergeCell ref="C202:I202"/>
    <mergeCell ref="C203:M203"/>
    <mergeCell ref="C205:I205"/>
    <mergeCell ref="C185:I185"/>
    <mergeCell ref="C187:I187"/>
    <mergeCell ref="C189:I189"/>
    <mergeCell ref="C190:I190"/>
    <mergeCell ref="C192:M192"/>
    <mergeCell ref="C193:I193"/>
    <mergeCell ref="C174:I174"/>
    <mergeCell ref="C175:I175"/>
    <mergeCell ref="C177:I177"/>
    <mergeCell ref="C178:I178"/>
    <mergeCell ref="C180:I180"/>
    <mergeCell ref="C183:I183"/>
    <mergeCell ref="C164:I164"/>
    <mergeCell ref="C166:I166"/>
    <mergeCell ref="C168:I168"/>
    <mergeCell ref="C169:I169"/>
    <mergeCell ref="C171:M171"/>
    <mergeCell ref="C172:I172"/>
    <mergeCell ref="C153:I153"/>
    <mergeCell ref="C155:I155"/>
    <mergeCell ref="C156:I156"/>
    <mergeCell ref="C158:M158"/>
    <mergeCell ref="C159:I159"/>
    <mergeCell ref="C163:M163"/>
    <mergeCell ref="C141:I141"/>
    <mergeCell ref="C143:I143"/>
    <mergeCell ref="C145:I145"/>
    <mergeCell ref="C147:I147"/>
    <mergeCell ref="C149:I149"/>
    <mergeCell ref="C151:I151"/>
    <mergeCell ref="C128:I128"/>
    <mergeCell ref="C132:M132"/>
    <mergeCell ref="C133:I133"/>
    <mergeCell ref="C137:M137"/>
    <mergeCell ref="C138:I138"/>
    <mergeCell ref="C139:I139"/>
    <mergeCell ref="C115:I115"/>
    <mergeCell ref="C119:I119"/>
    <mergeCell ref="C120:I120"/>
    <mergeCell ref="C123:M123"/>
    <mergeCell ref="C124:I124"/>
    <mergeCell ref="C127:M127"/>
    <mergeCell ref="C101:M101"/>
    <mergeCell ref="C102:I102"/>
    <mergeCell ref="C104:I104"/>
    <mergeCell ref="C108:I108"/>
    <mergeCell ref="C110:I110"/>
    <mergeCell ref="C111:I111"/>
    <mergeCell ref="C89:I89"/>
    <mergeCell ref="C91:M91"/>
    <mergeCell ref="C92:I92"/>
    <mergeCell ref="C95:I95"/>
    <mergeCell ref="C97:I97"/>
    <mergeCell ref="C99:I99"/>
    <mergeCell ref="C75:I75"/>
    <mergeCell ref="C77:M77"/>
    <mergeCell ref="C78:I78"/>
    <mergeCell ref="C83:M83"/>
    <mergeCell ref="C84:I84"/>
    <mergeCell ref="C88:M88"/>
    <mergeCell ref="C66:I66"/>
    <mergeCell ref="C68:M68"/>
    <mergeCell ref="C69:I69"/>
    <mergeCell ref="C71:M71"/>
    <mergeCell ref="C72:I72"/>
    <mergeCell ref="C74:M74"/>
    <mergeCell ref="C45:I45"/>
    <mergeCell ref="C49:I49"/>
    <mergeCell ref="C53:I53"/>
    <mergeCell ref="C58:I58"/>
    <mergeCell ref="C63:M63"/>
    <mergeCell ref="C64:I64"/>
    <mergeCell ref="C27:M27"/>
    <mergeCell ref="C28:I28"/>
    <mergeCell ref="C30:M30"/>
    <mergeCell ref="C31:I31"/>
    <mergeCell ref="C35:I35"/>
    <mergeCell ref="C40:I40"/>
    <mergeCell ref="C18:M18"/>
    <mergeCell ref="C19:I19"/>
    <mergeCell ref="C21:M21"/>
    <mergeCell ref="C22:I22"/>
    <mergeCell ref="C24:M24"/>
    <mergeCell ref="C25:I25"/>
    <mergeCell ref="C10:I10"/>
    <mergeCell ref="C11:I11"/>
    <mergeCell ref="C12:I12"/>
    <mergeCell ref="C13:I13"/>
    <mergeCell ref="C15:M15"/>
    <mergeCell ref="C16:I16"/>
    <mergeCell ref="A8:B9"/>
    <mergeCell ref="C8:C9"/>
    <mergeCell ref="D8:D9"/>
    <mergeCell ref="E8:E9"/>
    <mergeCell ref="F8:F9"/>
    <mergeCell ref="G8:M9"/>
    <mergeCell ref="A6:B7"/>
    <mergeCell ref="C6:C7"/>
    <mergeCell ref="D6:D7"/>
    <mergeCell ref="E6:E7"/>
    <mergeCell ref="F6:F7"/>
    <mergeCell ref="G6:M7"/>
    <mergeCell ref="A4:B5"/>
    <mergeCell ref="C4:C5"/>
    <mergeCell ref="D4:D5"/>
    <mergeCell ref="E4:E5"/>
    <mergeCell ref="F4:F5"/>
    <mergeCell ref="G4:M5"/>
    <mergeCell ref="A1:M1"/>
    <mergeCell ref="A2:B3"/>
    <mergeCell ref="C2:C3"/>
    <mergeCell ref="D2:D3"/>
    <mergeCell ref="E2:E3"/>
    <mergeCell ref="F2:F3"/>
    <mergeCell ref="G2:M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9"/>
  <sheetViews>
    <sheetView workbookViewId="0" topLeftCell="A292">
      <selection activeCell="C306" sqref="C306:I306"/>
    </sheetView>
  </sheetViews>
  <sheetFormatPr defaultColWidth="12.140625" defaultRowHeight="15"/>
  <cols>
    <col min="1" max="1" width="4.00390625" style="64" customWidth="1"/>
    <col min="2" max="2" width="17.8515625" style="64" customWidth="1"/>
    <col min="3" max="3" width="30.8515625" style="64" customWidth="1"/>
    <col min="4" max="4" width="17.57421875" style="64" customWidth="1"/>
    <col min="5" max="5" width="12.140625" style="64" customWidth="1"/>
    <col min="6" max="6" width="4.421875" style="64" customWidth="1"/>
    <col min="7" max="7" width="10.7109375" style="64" customWidth="1"/>
    <col min="8" max="8" width="11.00390625" style="64" customWidth="1"/>
    <col min="9" max="9" width="51.28125" style="64" customWidth="1"/>
    <col min="10" max="10" width="4.28125" style="64" customWidth="1"/>
    <col min="11" max="11" width="12.8515625" style="64" customWidth="1"/>
    <col min="12" max="12" width="12.00390625" style="64" customWidth="1"/>
    <col min="13" max="13" width="15.7109375" style="64" customWidth="1"/>
    <col min="14" max="24" width="12.140625" style="64" customWidth="1"/>
    <col min="25" max="74" width="12.140625" style="64" hidden="1" customWidth="1"/>
    <col min="75" max="256" width="12.140625" style="64" customWidth="1"/>
    <col min="257" max="257" width="4.00390625" style="64" customWidth="1"/>
    <col min="258" max="258" width="17.8515625" style="64" customWidth="1"/>
    <col min="259" max="259" width="30.8515625" style="64" customWidth="1"/>
    <col min="260" max="260" width="17.57421875" style="64" customWidth="1"/>
    <col min="261" max="261" width="12.140625" style="64" customWidth="1"/>
    <col min="262" max="262" width="4.421875" style="64" customWidth="1"/>
    <col min="263" max="263" width="10.7109375" style="64" customWidth="1"/>
    <col min="264" max="264" width="11.00390625" style="64" customWidth="1"/>
    <col min="265" max="265" width="51.28125" style="64" customWidth="1"/>
    <col min="266" max="266" width="4.28125" style="64" customWidth="1"/>
    <col min="267" max="267" width="12.8515625" style="64" customWidth="1"/>
    <col min="268" max="268" width="12.00390625" style="64" customWidth="1"/>
    <col min="269" max="269" width="15.7109375" style="64" customWidth="1"/>
    <col min="270" max="280" width="12.140625" style="64" customWidth="1"/>
    <col min="281" max="330" width="12.140625" style="64" hidden="1" customWidth="1"/>
    <col min="331" max="512" width="12.140625" style="64" customWidth="1"/>
    <col min="513" max="513" width="4.00390625" style="64" customWidth="1"/>
    <col min="514" max="514" width="17.8515625" style="64" customWidth="1"/>
    <col min="515" max="515" width="30.8515625" style="64" customWidth="1"/>
    <col min="516" max="516" width="17.57421875" style="64" customWidth="1"/>
    <col min="517" max="517" width="12.140625" style="64" customWidth="1"/>
    <col min="518" max="518" width="4.421875" style="64" customWidth="1"/>
    <col min="519" max="519" width="10.7109375" style="64" customWidth="1"/>
    <col min="520" max="520" width="11.00390625" style="64" customWidth="1"/>
    <col min="521" max="521" width="51.28125" style="64" customWidth="1"/>
    <col min="522" max="522" width="4.28125" style="64" customWidth="1"/>
    <col min="523" max="523" width="12.8515625" style="64" customWidth="1"/>
    <col min="524" max="524" width="12.00390625" style="64" customWidth="1"/>
    <col min="525" max="525" width="15.7109375" style="64" customWidth="1"/>
    <col min="526" max="536" width="12.140625" style="64" customWidth="1"/>
    <col min="537" max="586" width="12.140625" style="64" hidden="1" customWidth="1"/>
    <col min="587" max="768" width="12.140625" style="64" customWidth="1"/>
    <col min="769" max="769" width="4.00390625" style="64" customWidth="1"/>
    <col min="770" max="770" width="17.8515625" style="64" customWidth="1"/>
    <col min="771" max="771" width="30.8515625" style="64" customWidth="1"/>
    <col min="772" max="772" width="17.57421875" style="64" customWidth="1"/>
    <col min="773" max="773" width="12.140625" style="64" customWidth="1"/>
    <col min="774" max="774" width="4.421875" style="64" customWidth="1"/>
    <col min="775" max="775" width="10.7109375" style="64" customWidth="1"/>
    <col min="776" max="776" width="11.00390625" style="64" customWidth="1"/>
    <col min="777" max="777" width="51.28125" style="64" customWidth="1"/>
    <col min="778" max="778" width="4.28125" style="64" customWidth="1"/>
    <col min="779" max="779" width="12.8515625" style="64" customWidth="1"/>
    <col min="780" max="780" width="12.00390625" style="64" customWidth="1"/>
    <col min="781" max="781" width="15.7109375" style="64" customWidth="1"/>
    <col min="782" max="792" width="12.140625" style="64" customWidth="1"/>
    <col min="793" max="842" width="12.140625" style="64" hidden="1" customWidth="1"/>
    <col min="843" max="1024" width="12.140625" style="64" customWidth="1"/>
    <col min="1025" max="1025" width="4.00390625" style="64" customWidth="1"/>
    <col min="1026" max="1026" width="17.8515625" style="64" customWidth="1"/>
    <col min="1027" max="1027" width="30.8515625" style="64" customWidth="1"/>
    <col min="1028" max="1028" width="17.57421875" style="64" customWidth="1"/>
    <col min="1029" max="1029" width="12.140625" style="64" customWidth="1"/>
    <col min="1030" max="1030" width="4.421875" style="64" customWidth="1"/>
    <col min="1031" max="1031" width="10.7109375" style="64" customWidth="1"/>
    <col min="1032" max="1032" width="11.00390625" style="64" customWidth="1"/>
    <col min="1033" max="1033" width="51.28125" style="64" customWidth="1"/>
    <col min="1034" max="1034" width="4.28125" style="64" customWidth="1"/>
    <col min="1035" max="1035" width="12.8515625" style="64" customWidth="1"/>
    <col min="1036" max="1036" width="12.00390625" style="64" customWidth="1"/>
    <col min="1037" max="1037" width="15.7109375" style="64" customWidth="1"/>
    <col min="1038" max="1048" width="12.140625" style="64" customWidth="1"/>
    <col min="1049" max="1098" width="12.140625" style="64" hidden="1" customWidth="1"/>
    <col min="1099" max="1280" width="12.140625" style="64" customWidth="1"/>
    <col min="1281" max="1281" width="4.00390625" style="64" customWidth="1"/>
    <col min="1282" max="1282" width="17.8515625" style="64" customWidth="1"/>
    <col min="1283" max="1283" width="30.8515625" style="64" customWidth="1"/>
    <col min="1284" max="1284" width="17.57421875" style="64" customWidth="1"/>
    <col min="1285" max="1285" width="12.140625" style="64" customWidth="1"/>
    <col min="1286" max="1286" width="4.421875" style="64" customWidth="1"/>
    <col min="1287" max="1287" width="10.7109375" style="64" customWidth="1"/>
    <col min="1288" max="1288" width="11.00390625" style="64" customWidth="1"/>
    <col min="1289" max="1289" width="51.28125" style="64" customWidth="1"/>
    <col min="1290" max="1290" width="4.28125" style="64" customWidth="1"/>
    <col min="1291" max="1291" width="12.8515625" style="64" customWidth="1"/>
    <col min="1292" max="1292" width="12.00390625" style="64" customWidth="1"/>
    <col min="1293" max="1293" width="15.7109375" style="64" customWidth="1"/>
    <col min="1294" max="1304" width="12.140625" style="64" customWidth="1"/>
    <col min="1305" max="1354" width="12.140625" style="64" hidden="1" customWidth="1"/>
    <col min="1355" max="1536" width="12.140625" style="64" customWidth="1"/>
    <col min="1537" max="1537" width="4.00390625" style="64" customWidth="1"/>
    <col min="1538" max="1538" width="17.8515625" style="64" customWidth="1"/>
    <col min="1539" max="1539" width="30.8515625" style="64" customWidth="1"/>
    <col min="1540" max="1540" width="17.57421875" style="64" customWidth="1"/>
    <col min="1541" max="1541" width="12.140625" style="64" customWidth="1"/>
    <col min="1542" max="1542" width="4.421875" style="64" customWidth="1"/>
    <col min="1543" max="1543" width="10.7109375" style="64" customWidth="1"/>
    <col min="1544" max="1544" width="11.00390625" style="64" customWidth="1"/>
    <col min="1545" max="1545" width="51.28125" style="64" customWidth="1"/>
    <col min="1546" max="1546" width="4.28125" style="64" customWidth="1"/>
    <col min="1547" max="1547" width="12.8515625" style="64" customWidth="1"/>
    <col min="1548" max="1548" width="12.00390625" style="64" customWidth="1"/>
    <col min="1549" max="1549" width="15.7109375" style="64" customWidth="1"/>
    <col min="1550" max="1560" width="12.140625" style="64" customWidth="1"/>
    <col min="1561" max="1610" width="12.140625" style="64" hidden="1" customWidth="1"/>
    <col min="1611" max="1792" width="12.140625" style="64" customWidth="1"/>
    <col min="1793" max="1793" width="4.00390625" style="64" customWidth="1"/>
    <col min="1794" max="1794" width="17.8515625" style="64" customWidth="1"/>
    <col min="1795" max="1795" width="30.8515625" style="64" customWidth="1"/>
    <col min="1796" max="1796" width="17.57421875" style="64" customWidth="1"/>
    <col min="1797" max="1797" width="12.140625" style="64" customWidth="1"/>
    <col min="1798" max="1798" width="4.421875" style="64" customWidth="1"/>
    <col min="1799" max="1799" width="10.7109375" style="64" customWidth="1"/>
    <col min="1800" max="1800" width="11.00390625" style="64" customWidth="1"/>
    <col min="1801" max="1801" width="51.28125" style="64" customWidth="1"/>
    <col min="1802" max="1802" width="4.28125" style="64" customWidth="1"/>
    <col min="1803" max="1803" width="12.8515625" style="64" customWidth="1"/>
    <col min="1804" max="1804" width="12.00390625" style="64" customWidth="1"/>
    <col min="1805" max="1805" width="15.7109375" style="64" customWidth="1"/>
    <col min="1806" max="1816" width="12.140625" style="64" customWidth="1"/>
    <col min="1817" max="1866" width="12.140625" style="64" hidden="1" customWidth="1"/>
    <col min="1867" max="2048" width="12.140625" style="64" customWidth="1"/>
    <col min="2049" max="2049" width="4.00390625" style="64" customWidth="1"/>
    <col min="2050" max="2050" width="17.8515625" style="64" customWidth="1"/>
    <col min="2051" max="2051" width="30.8515625" style="64" customWidth="1"/>
    <col min="2052" max="2052" width="17.57421875" style="64" customWidth="1"/>
    <col min="2053" max="2053" width="12.140625" style="64" customWidth="1"/>
    <col min="2054" max="2054" width="4.421875" style="64" customWidth="1"/>
    <col min="2055" max="2055" width="10.7109375" style="64" customWidth="1"/>
    <col min="2056" max="2056" width="11.00390625" style="64" customWidth="1"/>
    <col min="2057" max="2057" width="51.28125" style="64" customWidth="1"/>
    <col min="2058" max="2058" width="4.28125" style="64" customWidth="1"/>
    <col min="2059" max="2059" width="12.8515625" style="64" customWidth="1"/>
    <col min="2060" max="2060" width="12.00390625" style="64" customWidth="1"/>
    <col min="2061" max="2061" width="15.7109375" style="64" customWidth="1"/>
    <col min="2062" max="2072" width="12.140625" style="64" customWidth="1"/>
    <col min="2073" max="2122" width="12.140625" style="64" hidden="1" customWidth="1"/>
    <col min="2123" max="2304" width="12.140625" style="64" customWidth="1"/>
    <col min="2305" max="2305" width="4.00390625" style="64" customWidth="1"/>
    <col min="2306" max="2306" width="17.8515625" style="64" customWidth="1"/>
    <col min="2307" max="2307" width="30.8515625" style="64" customWidth="1"/>
    <col min="2308" max="2308" width="17.57421875" style="64" customWidth="1"/>
    <col min="2309" max="2309" width="12.140625" style="64" customWidth="1"/>
    <col min="2310" max="2310" width="4.421875" style="64" customWidth="1"/>
    <col min="2311" max="2311" width="10.7109375" style="64" customWidth="1"/>
    <col min="2312" max="2312" width="11.00390625" style="64" customWidth="1"/>
    <col min="2313" max="2313" width="51.28125" style="64" customWidth="1"/>
    <col min="2314" max="2314" width="4.28125" style="64" customWidth="1"/>
    <col min="2315" max="2315" width="12.8515625" style="64" customWidth="1"/>
    <col min="2316" max="2316" width="12.00390625" style="64" customWidth="1"/>
    <col min="2317" max="2317" width="15.7109375" style="64" customWidth="1"/>
    <col min="2318" max="2328" width="12.140625" style="64" customWidth="1"/>
    <col min="2329" max="2378" width="12.140625" style="64" hidden="1" customWidth="1"/>
    <col min="2379" max="2560" width="12.140625" style="64" customWidth="1"/>
    <col min="2561" max="2561" width="4.00390625" style="64" customWidth="1"/>
    <col min="2562" max="2562" width="17.8515625" style="64" customWidth="1"/>
    <col min="2563" max="2563" width="30.8515625" style="64" customWidth="1"/>
    <col min="2564" max="2564" width="17.57421875" style="64" customWidth="1"/>
    <col min="2565" max="2565" width="12.140625" style="64" customWidth="1"/>
    <col min="2566" max="2566" width="4.421875" style="64" customWidth="1"/>
    <col min="2567" max="2567" width="10.7109375" style="64" customWidth="1"/>
    <col min="2568" max="2568" width="11.00390625" style="64" customWidth="1"/>
    <col min="2569" max="2569" width="51.28125" style="64" customWidth="1"/>
    <col min="2570" max="2570" width="4.28125" style="64" customWidth="1"/>
    <col min="2571" max="2571" width="12.8515625" style="64" customWidth="1"/>
    <col min="2572" max="2572" width="12.00390625" style="64" customWidth="1"/>
    <col min="2573" max="2573" width="15.7109375" style="64" customWidth="1"/>
    <col min="2574" max="2584" width="12.140625" style="64" customWidth="1"/>
    <col min="2585" max="2634" width="12.140625" style="64" hidden="1" customWidth="1"/>
    <col min="2635" max="2816" width="12.140625" style="64" customWidth="1"/>
    <col min="2817" max="2817" width="4.00390625" style="64" customWidth="1"/>
    <col min="2818" max="2818" width="17.8515625" style="64" customWidth="1"/>
    <col min="2819" max="2819" width="30.8515625" style="64" customWidth="1"/>
    <col min="2820" max="2820" width="17.57421875" style="64" customWidth="1"/>
    <col min="2821" max="2821" width="12.140625" style="64" customWidth="1"/>
    <col min="2822" max="2822" width="4.421875" style="64" customWidth="1"/>
    <col min="2823" max="2823" width="10.7109375" style="64" customWidth="1"/>
    <col min="2824" max="2824" width="11.00390625" style="64" customWidth="1"/>
    <col min="2825" max="2825" width="51.28125" style="64" customWidth="1"/>
    <col min="2826" max="2826" width="4.28125" style="64" customWidth="1"/>
    <col min="2827" max="2827" width="12.8515625" style="64" customWidth="1"/>
    <col min="2828" max="2828" width="12.00390625" style="64" customWidth="1"/>
    <col min="2829" max="2829" width="15.7109375" style="64" customWidth="1"/>
    <col min="2830" max="2840" width="12.140625" style="64" customWidth="1"/>
    <col min="2841" max="2890" width="12.140625" style="64" hidden="1" customWidth="1"/>
    <col min="2891" max="3072" width="12.140625" style="64" customWidth="1"/>
    <col min="3073" max="3073" width="4.00390625" style="64" customWidth="1"/>
    <col min="3074" max="3074" width="17.8515625" style="64" customWidth="1"/>
    <col min="3075" max="3075" width="30.8515625" style="64" customWidth="1"/>
    <col min="3076" max="3076" width="17.57421875" style="64" customWidth="1"/>
    <col min="3077" max="3077" width="12.140625" style="64" customWidth="1"/>
    <col min="3078" max="3078" width="4.421875" style="64" customWidth="1"/>
    <col min="3079" max="3079" width="10.7109375" style="64" customWidth="1"/>
    <col min="3080" max="3080" width="11.00390625" style="64" customWidth="1"/>
    <col min="3081" max="3081" width="51.28125" style="64" customWidth="1"/>
    <col min="3082" max="3082" width="4.28125" style="64" customWidth="1"/>
    <col min="3083" max="3083" width="12.8515625" style="64" customWidth="1"/>
    <col min="3084" max="3084" width="12.00390625" style="64" customWidth="1"/>
    <col min="3085" max="3085" width="15.7109375" style="64" customWidth="1"/>
    <col min="3086" max="3096" width="12.140625" style="64" customWidth="1"/>
    <col min="3097" max="3146" width="12.140625" style="64" hidden="1" customWidth="1"/>
    <col min="3147" max="3328" width="12.140625" style="64" customWidth="1"/>
    <col min="3329" max="3329" width="4.00390625" style="64" customWidth="1"/>
    <col min="3330" max="3330" width="17.8515625" style="64" customWidth="1"/>
    <col min="3331" max="3331" width="30.8515625" style="64" customWidth="1"/>
    <col min="3332" max="3332" width="17.57421875" style="64" customWidth="1"/>
    <col min="3333" max="3333" width="12.140625" style="64" customWidth="1"/>
    <col min="3334" max="3334" width="4.421875" style="64" customWidth="1"/>
    <col min="3335" max="3335" width="10.7109375" style="64" customWidth="1"/>
    <col min="3336" max="3336" width="11.00390625" style="64" customWidth="1"/>
    <col min="3337" max="3337" width="51.28125" style="64" customWidth="1"/>
    <col min="3338" max="3338" width="4.28125" style="64" customWidth="1"/>
    <col min="3339" max="3339" width="12.8515625" style="64" customWidth="1"/>
    <col min="3340" max="3340" width="12.00390625" style="64" customWidth="1"/>
    <col min="3341" max="3341" width="15.7109375" style="64" customWidth="1"/>
    <col min="3342" max="3352" width="12.140625" style="64" customWidth="1"/>
    <col min="3353" max="3402" width="12.140625" style="64" hidden="1" customWidth="1"/>
    <col min="3403" max="3584" width="12.140625" style="64" customWidth="1"/>
    <col min="3585" max="3585" width="4.00390625" style="64" customWidth="1"/>
    <col min="3586" max="3586" width="17.8515625" style="64" customWidth="1"/>
    <col min="3587" max="3587" width="30.8515625" style="64" customWidth="1"/>
    <col min="3588" max="3588" width="17.57421875" style="64" customWidth="1"/>
    <col min="3589" max="3589" width="12.140625" style="64" customWidth="1"/>
    <col min="3590" max="3590" width="4.421875" style="64" customWidth="1"/>
    <col min="3591" max="3591" width="10.7109375" style="64" customWidth="1"/>
    <col min="3592" max="3592" width="11.00390625" style="64" customWidth="1"/>
    <col min="3593" max="3593" width="51.28125" style="64" customWidth="1"/>
    <col min="3594" max="3594" width="4.28125" style="64" customWidth="1"/>
    <col min="3595" max="3595" width="12.8515625" style="64" customWidth="1"/>
    <col min="3596" max="3596" width="12.00390625" style="64" customWidth="1"/>
    <col min="3597" max="3597" width="15.7109375" style="64" customWidth="1"/>
    <col min="3598" max="3608" width="12.140625" style="64" customWidth="1"/>
    <col min="3609" max="3658" width="12.140625" style="64" hidden="1" customWidth="1"/>
    <col min="3659" max="3840" width="12.140625" style="64" customWidth="1"/>
    <col min="3841" max="3841" width="4.00390625" style="64" customWidth="1"/>
    <col min="3842" max="3842" width="17.8515625" style="64" customWidth="1"/>
    <col min="3843" max="3843" width="30.8515625" style="64" customWidth="1"/>
    <col min="3844" max="3844" width="17.57421875" style="64" customWidth="1"/>
    <col min="3845" max="3845" width="12.140625" style="64" customWidth="1"/>
    <col min="3846" max="3846" width="4.421875" style="64" customWidth="1"/>
    <col min="3847" max="3847" width="10.7109375" style="64" customWidth="1"/>
    <col min="3848" max="3848" width="11.00390625" style="64" customWidth="1"/>
    <col min="3849" max="3849" width="51.28125" style="64" customWidth="1"/>
    <col min="3850" max="3850" width="4.28125" style="64" customWidth="1"/>
    <col min="3851" max="3851" width="12.8515625" style="64" customWidth="1"/>
    <col min="3852" max="3852" width="12.00390625" style="64" customWidth="1"/>
    <col min="3853" max="3853" width="15.7109375" style="64" customWidth="1"/>
    <col min="3854" max="3864" width="12.140625" style="64" customWidth="1"/>
    <col min="3865" max="3914" width="12.140625" style="64" hidden="1" customWidth="1"/>
    <col min="3915" max="4096" width="12.140625" style="64" customWidth="1"/>
    <col min="4097" max="4097" width="4.00390625" style="64" customWidth="1"/>
    <col min="4098" max="4098" width="17.8515625" style="64" customWidth="1"/>
    <col min="4099" max="4099" width="30.8515625" style="64" customWidth="1"/>
    <col min="4100" max="4100" width="17.57421875" style="64" customWidth="1"/>
    <col min="4101" max="4101" width="12.140625" style="64" customWidth="1"/>
    <col min="4102" max="4102" width="4.421875" style="64" customWidth="1"/>
    <col min="4103" max="4103" width="10.7109375" style="64" customWidth="1"/>
    <col min="4104" max="4104" width="11.00390625" style="64" customWidth="1"/>
    <col min="4105" max="4105" width="51.28125" style="64" customWidth="1"/>
    <col min="4106" max="4106" width="4.28125" style="64" customWidth="1"/>
    <col min="4107" max="4107" width="12.8515625" style="64" customWidth="1"/>
    <col min="4108" max="4108" width="12.00390625" style="64" customWidth="1"/>
    <col min="4109" max="4109" width="15.7109375" style="64" customWidth="1"/>
    <col min="4110" max="4120" width="12.140625" style="64" customWidth="1"/>
    <col min="4121" max="4170" width="12.140625" style="64" hidden="1" customWidth="1"/>
    <col min="4171" max="4352" width="12.140625" style="64" customWidth="1"/>
    <col min="4353" max="4353" width="4.00390625" style="64" customWidth="1"/>
    <col min="4354" max="4354" width="17.8515625" style="64" customWidth="1"/>
    <col min="4355" max="4355" width="30.8515625" style="64" customWidth="1"/>
    <col min="4356" max="4356" width="17.57421875" style="64" customWidth="1"/>
    <col min="4357" max="4357" width="12.140625" style="64" customWidth="1"/>
    <col min="4358" max="4358" width="4.421875" style="64" customWidth="1"/>
    <col min="4359" max="4359" width="10.7109375" style="64" customWidth="1"/>
    <col min="4360" max="4360" width="11.00390625" style="64" customWidth="1"/>
    <col min="4361" max="4361" width="51.28125" style="64" customWidth="1"/>
    <col min="4362" max="4362" width="4.28125" style="64" customWidth="1"/>
    <col min="4363" max="4363" width="12.8515625" style="64" customWidth="1"/>
    <col min="4364" max="4364" width="12.00390625" style="64" customWidth="1"/>
    <col min="4365" max="4365" width="15.7109375" style="64" customWidth="1"/>
    <col min="4366" max="4376" width="12.140625" style="64" customWidth="1"/>
    <col min="4377" max="4426" width="12.140625" style="64" hidden="1" customWidth="1"/>
    <col min="4427" max="4608" width="12.140625" style="64" customWidth="1"/>
    <col min="4609" max="4609" width="4.00390625" style="64" customWidth="1"/>
    <col min="4610" max="4610" width="17.8515625" style="64" customWidth="1"/>
    <col min="4611" max="4611" width="30.8515625" style="64" customWidth="1"/>
    <col min="4612" max="4612" width="17.57421875" style="64" customWidth="1"/>
    <col min="4613" max="4613" width="12.140625" style="64" customWidth="1"/>
    <col min="4614" max="4614" width="4.421875" style="64" customWidth="1"/>
    <col min="4615" max="4615" width="10.7109375" style="64" customWidth="1"/>
    <col min="4616" max="4616" width="11.00390625" style="64" customWidth="1"/>
    <col min="4617" max="4617" width="51.28125" style="64" customWidth="1"/>
    <col min="4618" max="4618" width="4.28125" style="64" customWidth="1"/>
    <col min="4619" max="4619" width="12.8515625" style="64" customWidth="1"/>
    <col min="4620" max="4620" width="12.00390625" style="64" customWidth="1"/>
    <col min="4621" max="4621" width="15.7109375" style="64" customWidth="1"/>
    <col min="4622" max="4632" width="12.140625" style="64" customWidth="1"/>
    <col min="4633" max="4682" width="12.140625" style="64" hidden="1" customWidth="1"/>
    <col min="4683" max="4864" width="12.140625" style="64" customWidth="1"/>
    <col min="4865" max="4865" width="4.00390625" style="64" customWidth="1"/>
    <col min="4866" max="4866" width="17.8515625" style="64" customWidth="1"/>
    <col min="4867" max="4867" width="30.8515625" style="64" customWidth="1"/>
    <col min="4868" max="4868" width="17.57421875" style="64" customWidth="1"/>
    <col min="4869" max="4869" width="12.140625" style="64" customWidth="1"/>
    <col min="4870" max="4870" width="4.421875" style="64" customWidth="1"/>
    <col min="4871" max="4871" width="10.7109375" style="64" customWidth="1"/>
    <col min="4872" max="4872" width="11.00390625" style="64" customWidth="1"/>
    <col min="4873" max="4873" width="51.28125" style="64" customWidth="1"/>
    <col min="4874" max="4874" width="4.28125" style="64" customWidth="1"/>
    <col min="4875" max="4875" width="12.8515625" style="64" customWidth="1"/>
    <col min="4876" max="4876" width="12.00390625" style="64" customWidth="1"/>
    <col min="4877" max="4877" width="15.7109375" style="64" customWidth="1"/>
    <col min="4878" max="4888" width="12.140625" style="64" customWidth="1"/>
    <col min="4889" max="4938" width="12.140625" style="64" hidden="1" customWidth="1"/>
    <col min="4939" max="5120" width="12.140625" style="64" customWidth="1"/>
    <col min="5121" max="5121" width="4.00390625" style="64" customWidth="1"/>
    <col min="5122" max="5122" width="17.8515625" style="64" customWidth="1"/>
    <col min="5123" max="5123" width="30.8515625" style="64" customWidth="1"/>
    <col min="5124" max="5124" width="17.57421875" style="64" customWidth="1"/>
    <col min="5125" max="5125" width="12.140625" style="64" customWidth="1"/>
    <col min="5126" max="5126" width="4.421875" style="64" customWidth="1"/>
    <col min="5127" max="5127" width="10.7109375" style="64" customWidth="1"/>
    <col min="5128" max="5128" width="11.00390625" style="64" customWidth="1"/>
    <col min="5129" max="5129" width="51.28125" style="64" customWidth="1"/>
    <col min="5130" max="5130" width="4.28125" style="64" customWidth="1"/>
    <col min="5131" max="5131" width="12.8515625" style="64" customWidth="1"/>
    <col min="5132" max="5132" width="12.00390625" style="64" customWidth="1"/>
    <col min="5133" max="5133" width="15.7109375" style="64" customWidth="1"/>
    <col min="5134" max="5144" width="12.140625" style="64" customWidth="1"/>
    <col min="5145" max="5194" width="12.140625" style="64" hidden="1" customWidth="1"/>
    <col min="5195" max="5376" width="12.140625" style="64" customWidth="1"/>
    <col min="5377" max="5377" width="4.00390625" style="64" customWidth="1"/>
    <col min="5378" max="5378" width="17.8515625" style="64" customWidth="1"/>
    <col min="5379" max="5379" width="30.8515625" style="64" customWidth="1"/>
    <col min="5380" max="5380" width="17.57421875" style="64" customWidth="1"/>
    <col min="5381" max="5381" width="12.140625" style="64" customWidth="1"/>
    <col min="5382" max="5382" width="4.421875" style="64" customWidth="1"/>
    <col min="5383" max="5383" width="10.7109375" style="64" customWidth="1"/>
    <col min="5384" max="5384" width="11.00390625" style="64" customWidth="1"/>
    <col min="5385" max="5385" width="51.28125" style="64" customWidth="1"/>
    <col min="5386" max="5386" width="4.28125" style="64" customWidth="1"/>
    <col min="5387" max="5387" width="12.8515625" style="64" customWidth="1"/>
    <col min="5388" max="5388" width="12.00390625" style="64" customWidth="1"/>
    <col min="5389" max="5389" width="15.7109375" style="64" customWidth="1"/>
    <col min="5390" max="5400" width="12.140625" style="64" customWidth="1"/>
    <col min="5401" max="5450" width="12.140625" style="64" hidden="1" customWidth="1"/>
    <col min="5451" max="5632" width="12.140625" style="64" customWidth="1"/>
    <col min="5633" max="5633" width="4.00390625" style="64" customWidth="1"/>
    <col min="5634" max="5634" width="17.8515625" style="64" customWidth="1"/>
    <col min="5635" max="5635" width="30.8515625" style="64" customWidth="1"/>
    <col min="5636" max="5636" width="17.57421875" style="64" customWidth="1"/>
    <col min="5637" max="5637" width="12.140625" style="64" customWidth="1"/>
    <col min="5638" max="5638" width="4.421875" style="64" customWidth="1"/>
    <col min="5639" max="5639" width="10.7109375" style="64" customWidth="1"/>
    <col min="5640" max="5640" width="11.00390625" style="64" customWidth="1"/>
    <col min="5641" max="5641" width="51.28125" style="64" customWidth="1"/>
    <col min="5642" max="5642" width="4.28125" style="64" customWidth="1"/>
    <col min="5643" max="5643" width="12.8515625" style="64" customWidth="1"/>
    <col min="5644" max="5644" width="12.00390625" style="64" customWidth="1"/>
    <col min="5645" max="5645" width="15.7109375" style="64" customWidth="1"/>
    <col min="5646" max="5656" width="12.140625" style="64" customWidth="1"/>
    <col min="5657" max="5706" width="12.140625" style="64" hidden="1" customWidth="1"/>
    <col min="5707" max="5888" width="12.140625" style="64" customWidth="1"/>
    <col min="5889" max="5889" width="4.00390625" style="64" customWidth="1"/>
    <col min="5890" max="5890" width="17.8515625" style="64" customWidth="1"/>
    <col min="5891" max="5891" width="30.8515625" style="64" customWidth="1"/>
    <col min="5892" max="5892" width="17.57421875" style="64" customWidth="1"/>
    <col min="5893" max="5893" width="12.140625" style="64" customWidth="1"/>
    <col min="5894" max="5894" width="4.421875" style="64" customWidth="1"/>
    <col min="5895" max="5895" width="10.7109375" style="64" customWidth="1"/>
    <col min="5896" max="5896" width="11.00390625" style="64" customWidth="1"/>
    <col min="5897" max="5897" width="51.28125" style="64" customWidth="1"/>
    <col min="5898" max="5898" width="4.28125" style="64" customWidth="1"/>
    <col min="5899" max="5899" width="12.8515625" style="64" customWidth="1"/>
    <col min="5900" max="5900" width="12.00390625" style="64" customWidth="1"/>
    <col min="5901" max="5901" width="15.7109375" style="64" customWidth="1"/>
    <col min="5902" max="5912" width="12.140625" style="64" customWidth="1"/>
    <col min="5913" max="5962" width="12.140625" style="64" hidden="1" customWidth="1"/>
    <col min="5963" max="6144" width="12.140625" style="64" customWidth="1"/>
    <col min="6145" max="6145" width="4.00390625" style="64" customWidth="1"/>
    <col min="6146" max="6146" width="17.8515625" style="64" customWidth="1"/>
    <col min="6147" max="6147" width="30.8515625" style="64" customWidth="1"/>
    <col min="6148" max="6148" width="17.57421875" style="64" customWidth="1"/>
    <col min="6149" max="6149" width="12.140625" style="64" customWidth="1"/>
    <col min="6150" max="6150" width="4.421875" style="64" customWidth="1"/>
    <col min="6151" max="6151" width="10.7109375" style="64" customWidth="1"/>
    <col min="6152" max="6152" width="11.00390625" style="64" customWidth="1"/>
    <col min="6153" max="6153" width="51.28125" style="64" customWidth="1"/>
    <col min="6154" max="6154" width="4.28125" style="64" customWidth="1"/>
    <col min="6155" max="6155" width="12.8515625" style="64" customWidth="1"/>
    <col min="6156" max="6156" width="12.00390625" style="64" customWidth="1"/>
    <col min="6157" max="6157" width="15.7109375" style="64" customWidth="1"/>
    <col min="6158" max="6168" width="12.140625" style="64" customWidth="1"/>
    <col min="6169" max="6218" width="12.140625" style="64" hidden="1" customWidth="1"/>
    <col min="6219" max="6400" width="12.140625" style="64" customWidth="1"/>
    <col min="6401" max="6401" width="4.00390625" style="64" customWidth="1"/>
    <col min="6402" max="6402" width="17.8515625" style="64" customWidth="1"/>
    <col min="6403" max="6403" width="30.8515625" style="64" customWidth="1"/>
    <col min="6404" max="6404" width="17.57421875" style="64" customWidth="1"/>
    <col min="6405" max="6405" width="12.140625" style="64" customWidth="1"/>
    <col min="6406" max="6406" width="4.421875" style="64" customWidth="1"/>
    <col min="6407" max="6407" width="10.7109375" style="64" customWidth="1"/>
    <col min="6408" max="6408" width="11.00390625" style="64" customWidth="1"/>
    <col min="6409" max="6409" width="51.28125" style="64" customWidth="1"/>
    <col min="6410" max="6410" width="4.28125" style="64" customWidth="1"/>
    <col min="6411" max="6411" width="12.8515625" style="64" customWidth="1"/>
    <col min="6412" max="6412" width="12.00390625" style="64" customWidth="1"/>
    <col min="6413" max="6413" width="15.7109375" style="64" customWidth="1"/>
    <col min="6414" max="6424" width="12.140625" style="64" customWidth="1"/>
    <col min="6425" max="6474" width="12.140625" style="64" hidden="1" customWidth="1"/>
    <col min="6475" max="6656" width="12.140625" style="64" customWidth="1"/>
    <col min="6657" max="6657" width="4.00390625" style="64" customWidth="1"/>
    <col min="6658" max="6658" width="17.8515625" style="64" customWidth="1"/>
    <col min="6659" max="6659" width="30.8515625" style="64" customWidth="1"/>
    <col min="6660" max="6660" width="17.57421875" style="64" customWidth="1"/>
    <col min="6661" max="6661" width="12.140625" style="64" customWidth="1"/>
    <col min="6662" max="6662" width="4.421875" style="64" customWidth="1"/>
    <col min="6663" max="6663" width="10.7109375" style="64" customWidth="1"/>
    <col min="6664" max="6664" width="11.00390625" style="64" customWidth="1"/>
    <col min="6665" max="6665" width="51.28125" style="64" customWidth="1"/>
    <col min="6666" max="6666" width="4.28125" style="64" customWidth="1"/>
    <col min="6667" max="6667" width="12.8515625" style="64" customWidth="1"/>
    <col min="6668" max="6668" width="12.00390625" style="64" customWidth="1"/>
    <col min="6669" max="6669" width="15.7109375" style="64" customWidth="1"/>
    <col min="6670" max="6680" width="12.140625" style="64" customWidth="1"/>
    <col min="6681" max="6730" width="12.140625" style="64" hidden="1" customWidth="1"/>
    <col min="6731" max="6912" width="12.140625" style="64" customWidth="1"/>
    <col min="6913" max="6913" width="4.00390625" style="64" customWidth="1"/>
    <col min="6914" max="6914" width="17.8515625" style="64" customWidth="1"/>
    <col min="6915" max="6915" width="30.8515625" style="64" customWidth="1"/>
    <col min="6916" max="6916" width="17.57421875" style="64" customWidth="1"/>
    <col min="6917" max="6917" width="12.140625" style="64" customWidth="1"/>
    <col min="6918" max="6918" width="4.421875" style="64" customWidth="1"/>
    <col min="6919" max="6919" width="10.7109375" style="64" customWidth="1"/>
    <col min="6920" max="6920" width="11.00390625" style="64" customWidth="1"/>
    <col min="6921" max="6921" width="51.28125" style="64" customWidth="1"/>
    <col min="6922" max="6922" width="4.28125" style="64" customWidth="1"/>
    <col min="6923" max="6923" width="12.8515625" style="64" customWidth="1"/>
    <col min="6924" max="6924" width="12.00390625" style="64" customWidth="1"/>
    <col min="6925" max="6925" width="15.7109375" style="64" customWidth="1"/>
    <col min="6926" max="6936" width="12.140625" style="64" customWidth="1"/>
    <col min="6937" max="6986" width="12.140625" style="64" hidden="1" customWidth="1"/>
    <col min="6987" max="7168" width="12.140625" style="64" customWidth="1"/>
    <col min="7169" max="7169" width="4.00390625" style="64" customWidth="1"/>
    <col min="7170" max="7170" width="17.8515625" style="64" customWidth="1"/>
    <col min="7171" max="7171" width="30.8515625" style="64" customWidth="1"/>
    <col min="7172" max="7172" width="17.57421875" style="64" customWidth="1"/>
    <col min="7173" max="7173" width="12.140625" style="64" customWidth="1"/>
    <col min="7174" max="7174" width="4.421875" style="64" customWidth="1"/>
    <col min="7175" max="7175" width="10.7109375" style="64" customWidth="1"/>
    <col min="7176" max="7176" width="11.00390625" style="64" customWidth="1"/>
    <col min="7177" max="7177" width="51.28125" style="64" customWidth="1"/>
    <col min="7178" max="7178" width="4.28125" style="64" customWidth="1"/>
    <col min="7179" max="7179" width="12.8515625" style="64" customWidth="1"/>
    <col min="7180" max="7180" width="12.00390625" style="64" customWidth="1"/>
    <col min="7181" max="7181" width="15.7109375" style="64" customWidth="1"/>
    <col min="7182" max="7192" width="12.140625" style="64" customWidth="1"/>
    <col min="7193" max="7242" width="12.140625" style="64" hidden="1" customWidth="1"/>
    <col min="7243" max="7424" width="12.140625" style="64" customWidth="1"/>
    <col min="7425" max="7425" width="4.00390625" style="64" customWidth="1"/>
    <col min="7426" max="7426" width="17.8515625" style="64" customWidth="1"/>
    <col min="7427" max="7427" width="30.8515625" style="64" customWidth="1"/>
    <col min="7428" max="7428" width="17.57421875" style="64" customWidth="1"/>
    <col min="7429" max="7429" width="12.140625" style="64" customWidth="1"/>
    <col min="7430" max="7430" width="4.421875" style="64" customWidth="1"/>
    <col min="7431" max="7431" width="10.7109375" style="64" customWidth="1"/>
    <col min="7432" max="7432" width="11.00390625" style="64" customWidth="1"/>
    <col min="7433" max="7433" width="51.28125" style="64" customWidth="1"/>
    <col min="7434" max="7434" width="4.28125" style="64" customWidth="1"/>
    <col min="7435" max="7435" width="12.8515625" style="64" customWidth="1"/>
    <col min="7436" max="7436" width="12.00390625" style="64" customWidth="1"/>
    <col min="7437" max="7437" width="15.7109375" style="64" customWidth="1"/>
    <col min="7438" max="7448" width="12.140625" style="64" customWidth="1"/>
    <col min="7449" max="7498" width="12.140625" style="64" hidden="1" customWidth="1"/>
    <col min="7499" max="7680" width="12.140625" style="64" customWidth="1"/>
    <col min="7681" max="7681" width="4.00390625" style="64" customWidth="1"/>
    <col min="7682" max="7682" width="17.8515625" style="64" customWidth="1"/>
    <col min="7683" max="7683" width="30.8515625" style="64" customWidth="1"/>
    <col min="7684" max="7684" width="17.57421875" style="64" customWidth="1"/>
    <col min="7685" max="7685" width="12.140625" style="64" customWidth="1"/>
    <col min="7686" max="7686" width="4.421875" style="64" customWidth="1"/>
    <col min="7687" max="7687" width="10.7109375" style="64" customWidth="1"/>
    <col min="7688" max="7688" width="11.00390625" style="64" customWidth="1"/>
    <col min="7689" max="7689" width="51.28125" style="64" customWidth="1"/>
    <col min="7690" max="7690" width="4.28125" style="64" customWidth="1"/>
    <col min="7691" max="7691" width="12.8515625" style="64" customWidth="1"/>
    <col min="7692" max="7692" width="12.00390625" style="64" customWidth="1"/>
    <col min="7693" max="7693" width="15.7109375" style="64" customWidth="1"/>
    <col min="7694" max="7704" width="12.140625" style="64" customWidth="1"/>
    <col min="7705" max="7754" width="12.140625" style="64" hidden="1" customWidth="1"/>
    <col min="7755" max="7936" width="12.140625" style="64" customWidth="1"/>
    <col min="7937" max="7937" width="4.00390625" style="64" customWidth="1"/>
    <col min="7938" max="7938" width="17.8515625" style="64" customWidth="1"/>
    <col min="7939" max="7939" width="30.8515625" style="64" customWidth="1"/>
    <col min="7940" max="7940" width="17.57421875" style="64" customWidth="1"/>
    <col min="7941" max="7941" width="12.140625" style="64" customWidth="1"/>
    <col min="7942" max="7942" width="4.421875" style="64" customWidth="1"/>
    <col min="7943" max="7943" width="10.7109375" style="64" customWidth="1"/>
    <col min="7944" max="7944" width="11.00390625" style="64" customWidth="1"/>
    <col min="7945" max="7945" width="51.28125" style="64" customWidth="1"/>
    <col min="7946" max="7946" width="4.28125" style="64" customWidth="1"/>
    <col min="7947" max="7947" width="12.8515625" style="64" customWidth="1"/>
    <col min="7948" max="7948" width="12.00390625" style="64" customWidth="1"/>
    <col min="7949" max="7949" width="15.7109375" style="64" customWidth="1"/>
    <col min="7950" max="7960" width="12.140625" style="64" customWidth="1"/>
    <col min="7961" max="8010" width="12.140625" style="64" hidden="1" customWidth="1"/>
    <col min="8011" max="8192" width="12.140625" style="64" customWidth="1"/>
    <col min="8193" max="8193" width="4.00390625" style="64" customWidth="1"/>
    <col min="8194" max="8194" width="17.8515625" style="64" customWidth="1"/>
    <col min="8195" max="8195" width="30.8515625" style="64" customWidth="1"/>
    <col min="8196" max="8196" width="17.57421875" style="64" customWidth="1"/>
    <col min="8197" max="8197" width="12.140625" style="64" customWidth="1"/>
    <col min="8198" max="8198" width="4.421875" style="64" customWidth="1"/>
    <col min="8199" max="8199" width="10.7109375" style="64" customWidth="1"/>
    <col min="8200" max="8200" width="11.00390625" style="64" customWidth="1"/>
    <col min="8201" max="8201" width="51.28125" style="64" customWidth="1"/>
    <col min="8202" max="8202" width="4.28125" style="64" customWidth="1"/>
    <col min="8203" max="8203" width="12.8515625" style="64" customWidth="1"/>
    <col min="8204" max="8204" width="12.00390625" style="64" customWidth="1"/>
    <col min="8205" max="8205" width="15.7109375" style="64" customWidth="1"/>
    <col min="8206" max="8216" width="12.140625" style="64" customWidth="1"/>
    <col min="8217" max="8266" width="12.140625" style="64" hidden="1" customWidth="1"/>
    <col min="8267" max="8448" width="12.140625" style="64" customWidth="1"/>
    <col min="8449" max="8449" width="4.00390625" style="64" customWidth="1"/>
    <col min="8450" max="8450" width="17.8515625" style="64" customWidth="1"/>
    <col min="8451" max="8451" width="30.8515625" style="64" customWidth="1"/>
    <col min="8452" max="8452" width="17.57421875" style="64" customWidth="1"/>
    <col min="8453" max="8453" width="12.140625" style="64" customWidth="1"/>
    <col min="8454" max="8454" width="4.421875" style="64" customWidth="1"/>
    <col min="8455" max="8455" width="10.7109375" style="64" customWidth="1"/>
    <col min="8456" max="8456" width="11.00390625" style="64" customWidth="1"/>
    <col min="8457" max="8457" width="51.28125" style="64" customWidth="1"/>
    <col min="8458" max="8458" width="4.28125" style="64" customWidth="1"/>
    <col min="8459" max="8459" width="12.8515625" style="64" customWidth="1"/>
    <col min="8460" max="8460" width="12.00390625" style="64" customWidth="1"/>
    <col min="8461" max="8461" width="15.7109375" style="64" customWidth="1"/>
    <col min="8462" max="8472" width="12.140625" style="64" customWidth="1"/>
    <col min="8473" max="8522" width="12.140625" style="64" hidden="1" customWidth="1"/>
    <col min="8523" max="8704" width="12.140625" style="64" customWidth="1"/>
    <col min="8705" max="8705" width="4.00390625" style="64" customWidth="1"/>
    <col min="8706" max="8706" width="17.8515625" style="64" customWidth="1"/>
    <col min="8707" max="8707" width="30.8515625" style="64" customWidth="1"/>
    <col min="8708" max="8708" width="17.57421875" style="64" customWidth="1"/>
    <col min="8709" max="8709" width="12.140625" style="64" customWidth="1"/>
    <col min="8710" max="8710" width="4.421875" style="64" customWidth="1"/>
    <col min="8711" max="8711" width="10.7109375" style="64" customWidth="1"/>
    <col min="8712" max="8712" width="11.00390625" style="64" customWidth="1"/>
    <col min="8713" max="8713" width="51.28125" style="64" customWidth="1"/>
    <col min="8714" max="8714" width="4.28125" style="64" customWidth="1"/>
    <col min="8715" max="8715" width="12.8515625" style="64" customWidth="1"/>
    <col min="8716" max="8716" width="12.00390625" style="64" customWidth="1"/>
    <col min="8717" max="8717" width="15.7109375" style="64" customWidth="1"/>
    <col min="8718" max="8728" width="12.140625" style="64" customWidth="1"/>
    <col min="8729" max="8778" width="12.140625" style="64" hidden="1" customWidth="1"/>
    <col min="8779" max="8960" width="12.140625" style="64" customWidth="1"/>
    <col min="8961" max="8961" width="4.00390625" style="64" customWidth="1"/>
    <col min="8962" max="8962" width="17.8515625" style="64" customWidth="1"/>
    <col min="8963" max="8963" width="30.8515625" style="64" customWidth="1"/>
    <col min="8964" max="8964" width="17.57421875" style="64" customWidth="1"/>
    <col min="8965" max="8965" width="12.140625" style="64" customWidth="1"/>
    <col min="8966" max="8966" width="4.421875" style="64" customWidth="1"/>
    <col min="8967" max="8967" width="10.7109375" style="64" customWidth="1"/>
    <col min="8968" max="8968" width="11.00390625" style="64" customWidth="1"/>
    <col min="8969" max="8969" width="51.28125" style="64" customWidth="1"/>
    <col min="8970" max="8970" width="4.28125" style="64" customWidth="1"/>
    <col min="8971" max="8971" width="12.8515625" style="64" customWidth="1"/>
    <col min="8972" max="8972" width="12.00390625" style="64" customWidth="1"/>
    <col min="8973" max="8973" width="15.7109375" style="64" customWidth="1"/>
    <col min="8974" max="8984" width="12.140625" style="64" customWidth="1"/>
    <col min="8985" max="9034" width="12.140625" style="64" hidden="1" customWidth="1"/>
    <col min="9035" max="9216" width="12.140625" style="64" customWidth="1"/>
    <col min="9217" max="9217" width="4.00390625" style="64" customWidth="1"/>
    <col min="9218" max="9218" width="17.8515625" style="64" customWidth="1"/>
    <col min="9219" max="9219" width="30.8515625" style="64" customWidth="1"/>
    <col min="9220" max="9220" width="17.57421875" style="64" customWidth="1"/>
    <col min="9221" max="9221" width="12.140625" style="64" customWidth="1"/>
    <col min="9222" max="9222" width="4.421875" style="64" customWidth="1"/>
    <col min="9223" max="9223" width="10.7109375" style="64" customWidth="1"/>
    <col min="9224" max="9224" width="11.00390625" style="64" customWidth="1"/>
    <col min="9225" max="9225" width="51.28125" style="64" customWidth="1"/>
    <col min="9226" max="9226" width="4.28125" style="64" customWidth="1"/>
    <col min="9227" max="9227" width="12.8515625" style="64" customWidth="1"/>
    <col min="9228" max="9228" width="12.00390625" style="64" customWidth="1"/>
    <col min="9229" max="9229" width="15.7109375" style="64" customWidth="1"/>
    <col min="9230" max="9240" width="12.140625" style="64" customWidth="1"/>
    <col min="9241" max="9290" width="12.140625" style="64" hidden="1" customWidth="1"/>
    <col min="9291" max="9472" width="12.140625" style="64" customWidth="1"/>
    <col min="9473" max="9473" width="4.00390625" style="64" customWidth="1"/>
    <col min="9474" max="9474" width="17.8515625" style="64" customWidth="1"/>
    <col min="9475" max="9475" width="30.8515625" style="64" customWidth="1"/>
    <col min="9476" max="9476" width="17.57421875" style="64" customWidth="1"/>
    <col min="9477" max="9477" width="12.140625" style="64" customWidth="1"/>
    <col min="9478" max="9478" width="4.421875" style="64" customWidth="1"/>
    <col min="9479" max="9479" width="10.7109375" style="64" customWidth="1"/>
    <col min="9480" max="9480" width="11.00390625" style="64" customWidth="1"/>
    <col min="9481" max="9481" width="51.28125" style="64" customWidth="1"/>
    <col min="9482" max="9482" width="4.28125" style="64" customWidth="1"/>
    <col min="9483" max="9483" width="12.8515625" style="64" customWidth="1"/>
    <col min="9484" max="9484" width="12.00390625" style="64" customWidth="1"/>
    <col min="9485" max="9485" width="15.7109375" style="64" customWidth="1"/>
    <col min="9486" max="9496" width="12.140625" style="64" customWidth="1"/>
    <col min="9497" max="9546" width="12.140625" style="64" hidden="1" customWidth="1"/>
    <col min="9547" max="9728" width="12.140625" style="64" customWidth="1"/>
    <col min="9729" max="9729" width="4.00390625" style="64" customWidth="1"/>
    <col min="9730" max="9730" width="17.8515625" style="64" customWidth="1"/>
    <col min="9731" max="9731" width="30.8515625" style="64" customWidth="1"/>
    <col min="9732" max="9732" width="17.57421875" style="64" customWidth="1"/>
    <col min="9733" max="9733" width="12.140625" style="64" customWidth="1"/>
    <col min="9734" max="9734" width="4.421875" style="64" customWidth="1"/>
    <col min="9735" max="9735" width="10.7109375" style="64" customWidth="1"/>
    <col min="9736" max="9736" width="11.00390625" style="64" customWidth="1"/>
    <col min="9737" max="9737" width="51.28125" style="64" customWidth="1"/>
    <col min="9738" max="9738" width="4.28125" style="64" customWidth="1"/>
    <col min="9739" max="9739" width="12.8515625" style="64" customWidth="1"/>
    <col min="9740" max="9740" width="12.00390625" style="64" customWidth="1"/>
    <col min="9741" max="9741" width="15.7109375" style="64" customWidth="1"/>
    <col min="9742" max="9752" width="12.140625" style="64" customWidth="1"/>
    <col min="9753" max="9802" width="12.140625" style="64" hidden="1" customWidth="1"/>
    <col min="9803" max="9984" width="12.140625" style="64" customWidth="1"/>
    <col min="9985" max="9985" width="4.00390625" style="64" customWidth="1"/>
    <col min="9986" max="9986" width="17.8515625" style="64" customWidth="1"/>
    <col min="9987" max="9987" width="30.8515625" style="64" customWidth="1"/>
    <col min="9988" max="9988" width="17.57421875" style="64" customWidth="1"/>
    <col min="9989" max="9989" width="12.140625" style="64" customWidth="1"/>
    <col min="9990" max="9990" width="4.421875" style="64" customWidth="1"/>
    <col min="9991" max="9991" width="10.7109375" style="64" customWidth="1"/>
    <col min="9992" max="9992" width="11.00390625" style="64" customWidth="1"/>
    <col min="9993" max="9993" width="51.28125" style="64" customWidth="1"/>
    <col min="9994" max="9994" width="4.28125" style="64" customWidth="1"/>
    <col min="9995" max="9995" width="12.8515625" style="64" customWidth="1"/>
    <col min="9996" max="9996" width="12.00390625" style="64" customWidth="1"/>
    <col min="9997" max="9997" width="15.7109375" style="64" customWidth="1"/>
    <col min="9998" max="10008" width="12.140625" style="64" customWidth="1"/>
    <col min="10009" max="10058" width="12.140625" style="64" hidden="1" customWidth="1"/>
    <col min="10059" max="10240" width="12.140625" style="64" customWidth="1"/>
    <col min="10241" max="10241" width="4.00390625" style="64" customWidth="1"/>
    <col min="10242" max="10242" width="17.8515625" style="64" customWidth="1"/>
    <col min="10243" max="10243" width="30.8515625" style="64" customWidth="1"/>
    <col min="10244" max="10244" width="17.57421875" style="64" customWidth="1"/>
    <col min="10245" max="10245" width="12.140625" style="64" customWidth="1"/>
    <col min="10246" max="10246" width="4.421875" style="64" customWidth="1"/>
    <col min="10247" max="10247" width="10.7109375" style="64" customWidth="1"/>
    <col min="10248" max="10248" width="11.00390625" style="64" customWidth="1"/>
    <col min="10249" max="10249" width="51.28125" style="64" customWidth="1"/>
    <col min="10250" max="10250" width="4.28125" style="64" customWidth="1"/>
    <col min="10251" max="10251" width="12.8515625" style="64" customWidth="1"/>
    <col min="10252" max="10252" width="12.00390625" style="64" customWidth="1"/>
    <col min="10253" max="10253" width="15.7109375" style="64" customWidth="1"/>
    <col min="10254" max="10264" width="12.140625" style="64" customWidth="1"/>
    <col min="10265" max="10314" width="12.140625" style="64" hidden="1" customWidth="1"/>
    <col min="10315" max="10496" width="12.140625" style="64" customWidth="1"/>
    <col min="10497" max="10497" width="4.00390625" style="64" customWidth="1"/>
    <col min="10498" max="10498" width="17.8515625" style="64" customWidth="1"/>
    <col min="10499" max="10499" width="30.8515625" style="64" customWidth="1"/>
    <col min="10500" max="10500" width="17.57421875" style="64" customWidth="1"/>
    <col min="10501" max="10501" width="12.140625" style="64" customWidth="1"/>
    <col min="10502" max="10502" width="4.421875" style="64" customWidth="1"/>
    <col min="10503" max="10503" width="10.7109375" style="64" customWidth="1"/>
    <col min="10504" max="10504" width="11.00390625" style="64" customWidth="1"/>
    <col min="10505" max="10505" width="51.28125" style="64" customWidth="1"/>
    <col min="10506" max="10506" width="4.28125" style="64" customWidth="1"/>
    <col min="10507" max="10507" width="12.8515625" style="64" customWidth="1"/>
    <col min="10508" max="10508" width="12.00390625" style="64" customWidth="1"/>
    <col min="10509" max="10509" width="15.7109375" style="64" customWidth="1"/>
    <col min="10510" max="10520" width="12.140625" style="64" customWidth="1"/>
    <col min="10521" max="10570" width="12.140625" style="64" hidden="1" customWidth="1"/>
    <col min="10571" max="10752" width="12.140625" style="64" customWidth="1"/>
    <col min="10753" max="10753" width="4.00390625" style="64" customWidth="1"/>
    <col min="10754" max="10754" width="17.8515625" style="64" customWidth="1"/>
    <col min="10755" max="10755" width="30.8515625" style="64" customWidth="1"/>
    <col min="10756" max="10756" width="17.57421875" style="64" customWidth="1"/>
    <col min="10757" max="10757" width="12.140625" style="64" customWidth="1"/>
    <col min="10758" max="10758" width="4.421875" style="64" customWidth="1"/>
    <col min="10759" max="10759" width="10.7109375" style="64" customWidth="1"/>
    <col min="10760" max="10760" width="11.00390625" style="64" customWidth="1"/>
    <col min="10761" max="10761" width="51.28125" style="64" customWidth="1"/>
    <col min="10762" max="10762" width="4.28125" style="64" customWidth="1"/>
    <col min="10763" max="10763" width="12.8515625" style="64" customWidth="1"/>
    <col min="10764" max="10764" width="12.00390625" style="64" customWidth="1"/>
    <col min="10765" max="10765" width="15.7109375" style="64" customWidth="1"/>
    <col min="10766" max="10776" width="12.140625" style="64" customWidth="1"/>
    <col min="10777" max="10826" width="12.140625" style="64" hidden="1" customWidth="1"/>
    <col min="10827" max="11008" width="12.140625" style="64" customWidth="1"/>
    <col min="11009" max="11009" width="4.00390625" style="64" customWidth="1"/>
    <col min="11010" max="11010" width="17.8515625" style="64" customWidth="1"/>
    <col min="11011" max="11011" width="30.8515625" style="64" customWidth="1"/>
    <col min="11012" max="11012" width="17.57421875" style="64" customWidth="1"/>
    <col min="11013" max="11013" width="12.140625" style="64" customWidth="1"/>
    <col min="11014" max="11014" width="4.421875" style="64" customWidth="1"/>
    <col min="11015" max="11015" width="10.7109375" style="64" customWidth="1"/>
    <col min="11016" max="11016" width="11.00390625" style="64" customWidth="1"/>
    <col min="11017" max="11017" width="51.28125" style="64" customWidth="1"/>
    <col min="11018" max="11018" width="4.28125" style="64" customWidth="1"/>
    <col min="11019" max="11019" width="12.8515625" style="64" customWidth="1"/>
    <col min="11020" max="11020" width="12.00390625" style="64" customWidth="1"/>
    <col min="11021" max="11021" width="15.7109375" style="64" customWidth="1"/>
    <col min="11022" max="11032" width="12.140625" style="64" customWidth="1"/>
    <col min="11033" max="11082" width="12.140625" style="64" hidden="1" customWidth="1"/>
    <col min="11083" max="11264" width="12.140625" style="64" customWidth="1"/>
    <col min="11265" max="11265" width="4.00390625" style="64" customWidth="1"/>
    <col min="11266" max="11266" width="17.8515625" style="64" customWidth="1"/>
    <col min="11267" max="11267" width="30.8515625" style="64" customWidth="1"/>
    <col min="11268" max="11268" width="17.57421875" style="64" customWidth="1"/>
    <col min="11269" max="11269" width="12.140625" style="64" customWidth="1"/>
    <col min="11270" max="11270" width="4.421875" style="64" customWidth="1"/>
    <col min="11271" max="11271" width="10.7109375" style="64" customWidth="1"/>
    <col min="11272" max="11272" width="11.00390625" style="64" customWidth="1"/>
    <col min="11273" max="11273" width="51.28125" style="64" customWidth="1"/>
    <col min="11274" max="11274" width="4.28125" style="64" customWidth="1"/>
    <col min="11275" max="11275" width="12.8515625" style="64" customWidth="1"/>
    <col min="11276" max="11276" width="12.00390625" style="64" customWidth="1"/>
    <col min="11277" max="11277" width="15.7109375" style="64" customWidth="1"/>
    <col min="11278" max="11288" width="12.140625" style="64" customWidth="1"/>
    <col min="11289" max="11338" width="12.140625" style="64" hidden="1" customWidth="1"/>
    <col min="11339" max="11520" width="12.140625" style="64" customWidth="1"/>
    <col min="11521" max="11521" width="4.00390625" style="64" customWidth="1"/>
    <col min="11522" max="11522" width="17.8515625" style="64" customWidth="1"/>
    <col min="11523" max="11523" width="30.8515625" style="64" customWidth="1"/>
    <col min="11524" max="11524" width="17.57421875" style="64" customWidth="1"/>
    <col min="11525" max="11525" width="12.140625" style="64" customWidth="1"/>
    <col min="11526" max="11526" width="4.421875" style="64" customWidth="1"/>
    <col min="11527" max="11527" width="10.7109375" style="64" customWidth="1"/>
    <col min="11528" max="11528" width="11.00390625" style="64" customWidth="1"/>
    <col min="11529" max="11529" width="51.28125" style="64" customWidth="1"/>
    <col min="11530" max="11530" width="4.28125" style="64" customWidth="1"/>
    <col min="11531" max="11531" width="12.8515625" style="64" customWidth="1"/>
    <col min="11532" max="11532" width="12.00390625" style="64" customWidth="1"/>
    <col min="11533" max="11533" width="15.7109375" style="64" customWidth="1"/>
    <col min="11534" max="11544" width="12.140625" style="64" customWidth="1"/>
    <col min="11545" max="11594" width="12.140625" style="64" hidden="1" customWidth="1"/>
    <col min="11595" max="11776" width="12.140625" style="64" customWidth="1"/>
    <col min="11777" max="11777" width="4.00390625" style="64" customWidth="1"/>
    <col min="11778" max="11778" width="17.8515625" style="64" customWidth="1"/>
    <col min="11779" max="11779" width="30.8515625" style="64" customWidth="1"/>
    <col min="11780" max="11780" width="17.57421875" style="64" customWidth="1"/>
    <col min="11781" max="11781" width="12.140625" style="64" customWidth="1"/>
    <col min="11782" max="11782" width="4.421875" style="64" customWidth="1"/>
    <col min="11783" max="11783" width="10.7109375" style="64" customWidth="1"/>
    <col min="11784" max="11784" width="11.00390625" style="64" customWidth="1"/>
    <col min="11785" max="11785" width="51.28125" style="64" customWidth="1"/>
    <col min="11786" max="11786" width="4.28125" style="64" customWidth="1"/>
    <col min="11787" max="11787" width="12.8515625" style="64" customWidth="1"/>
    <col min="11788" max="11788" width="12.00390625" style="64" customWidth="1"/>
    <col min="11789" max="11789" width="15.7109375" style="64" customWidth="1"/>
    <col min="11790" max="11800" width="12.140625" style="64" customWidth="1"/>
    <col min="11801" max="11850" width="12.140625" style="64" hidden="1" customWidth="1"/>
    <col min="11851" max="12032" width="12.140625" style="64" customWidth="1"/>
    <col min="12033" max="12033" width="4.00390625" style="64" customWidth="1"/>
    <col min="12034" max="12034" width="17.8515625" style="64" customWidth="1"/>
    <col min="12035" max="12035" width="30.8515625" style="64" customWidth="1"/>
    <col min="12036" max="12036" width="17.57421875" style="64" customWidth="1"/>
    <col min="12037" max="12037" width="12.140625" style="64" customWidth="1"/>
    <col min="12038" max="12038" width="4.421875" style="64" customWidth="1"/>
    <col min="12039" max="12039" width="10.7109375" style="64" customWidth="1"/>
    <col min="12040" max="12040" width="11.00390625" style="64" customWidth="1"/>
    <col min="12041" max="12041" width="51.28125" style="64" customWidth="1"/>
    <col min="12042" max="12042" width="4.28125" style="64" customWidth="1"/>
    <col min="12043" max="12043" width="12.8515625" style="64" customWidth="1"/>
    <col min="12044" max="12044" width="12.00390625" style="64" customWidth="1"/>
    <col min="12045" max="12045" width="15.7109375" style="64" customWidth="1"/>
    <col min="12046" max="12056" width="12.140625" style="64" customWidth="1"/>
    <col min="12057" max="12106" width="12.140625" style="64" hidden="1" customWidth="1"/>
    <col min="12107" max="12288" width="12.140625" style="64" customWidth="1"/>
    <col min="12289" max="12289" width="4.00390625" style="64" customWidth="1"/>
    <col min="12290" max="12290" width="17.8515625" style="64" customWidth="1"/>
    <col min="12291" max="12291" width="30.8515625" style="64" customWidth="1"/>
    <col min="12292" max="12292" width="17.57421875" style="64" customWidth="1"/>
    <col min="12293" max="12293" width="12.140625" style="64" customWidth="1"/>
    <col min="12294" max="12294" width="4.421875" style="64" customWidth="1"/>
    <col min="12295" max="12295" width="10.7109375" style="64" customWidth="1"/>
    <col min="12296" max="12296" width="11.00390625" style="64" customWidth="1"/>
    <col min="12297" max="12297" width="51.28125" style="64" customWidth="1"/>
    <col min="12298" max="12298" width="4.28125" style="64" customWidth="1"/>
    <col min="12299" max="12299" width="12.8515625" style="64" customWidth="1"/>
    <col min="12300" max="12300" width="12.00390625" style="64" customWidth="1"/>
    <col min="12301" max="12301" width="15.7109375" style="64" customWidth="1"/>
    <col min="12302" max="12312" width="12.140625" style="64" customWidth="1"/>
    <col min="12313" max="12362" width="12.140625" style="64" hidden="1" customWidth="1"/>
    <col min="12363" max="12544" width="12.140625" style="64" customWidth="1"/>
    <col min="12545" max="12545" width="4.00390625" style="64" customWidth="1"/>
    <col min="12546" max="12546" width="17.8515625" style="64" customWidth="1"/>
    <col min="12547" max="12547" width="30.8515625" style="64" customWidth="1"/>
    <col min="12548" max="12548" width="17.57421875" style="64" customWidth="1"/>
    <col min="12549" max="12549" width="12.140625" style="64" customWidth="1"/>
    <col min="12550" max="12550" width="4.421875" style="64" customWidth="1"/>
    <col min="12551" max="12551" width="10.7109375" style="64" customWidth="1"/>
    <col min="12552" max="12552" width="11.00390625" style="64" customWidth="1"/>
    <col min="12553" max="12553" width="51.28125" style="64" customWidth="1"/>
    <col min="12554" max="12554" width="4.28125" style="64" customWidth="1"/>
    <col min="12555" max="12555" width="12.8515625" style="64" customWidth="1"/>
    <col min="12556" max="12556" width="12.00390625" style="64" customWidth="1"/>
    <col min="12557" max="12557" width="15.7109375" style="64" customWidth="1"/>
    <col min="12558" max="12568" width="12.140625" style="64" customWidth="1"/>
    <col min="12569" max="12618" width="12.140625" style="64" hidden="1" customWidth="1"/>
    <col min="12619" max="12800" width="12.140625" style="64" customWidth="1"/>
    <col min="12801" max="12801" width="4.00390625" style="64" customWidth="1"/>
    <col min="12802" max="12802" width="17.8515625" style="64" customWidth="1"/>
    <col min="12803" max="12803" width="30.8515625" style="64" customWidth="1"/>
    <col min="12804" max="12804" width="17.57421875" style="64" customWidth="1"/>
    <col min="12805" max="12805" width="12.140625" style="64" customWidth="1"/>
    <col min="12806" max="12806" width="4.421875" style="64" customWidth="1"/>
    <col min="12807" max="12807" width="10.7109375" style="64" customWidth="1"/>
    <col min="12808" max="12808" width="11.00390625" style="64" customWidth="1"/>
    <col min="12809" max="12809" width="51.28125" style="64" customWidth="1"/>
    <col min="12810" max="12810" width="4.28125" style="64" customWidth="1"/>
    <col min="12811" max="12811" width="12.8515625" style="64" customWidth="1"/>
    <col min="12812" max="12812" width="12.00390625" style="64" customWidth="1"/>
    <col min="12813" max="12813" width="15.7109375" style="64" customWidth="1"/>
    <col min="12814" max="12824" width="12.140625" style="64" customWidth="1"/>
    <col min="12825" max="12874" width="12.140625" style="64" hidden="1" customWidth="1"/>
    <col min="12875" max="13056" width="12.140625" style="64" customWidth="1"/>
    <col min="13057" max="13057" width="4.00390625" style="64" customWidth="1"/>
    <col min="13058" max="13058" width="17.8515625" style="64" customWidth="1"/>
    <col min="13059" max="13059" width="30.8515625" style="64" customWidth="1"/>
    <col min="13060" max="13060" width="17.57421875" style="64" customWidth="1"/>
    <col min="13061" max="13061" width="12.140625" style="64" customWidth="1"/>
    <col min="13062" max="13062" width="4.421875" style="64" customWidth="1"/>
    <col min="13063" max="13063" width="10.7109375" style="64" customWidth="1"/>
    <col min="13064" max="13064" width="11.00390625" style="64" customWidth="1"/>
    <col min="13065" max="13065" width="51.28125" style="64" customWidth="1"/>
    <col min="13066" max="13066" width="4.28125" style="64" customWidth="1"/>
    <col min="13067" max="13067" width="12.8515625" style="64" customWidth="1"/>
    <col min="13068" max="13068" width="12.00390625" style="64" customWidth="1"/>
    <col min="13069" max="13069" width="15.7109375" style="64" customWidth="1"/>
    <col min="13070" max="13080" width="12.140625" style="64" customWidth="1"/>
    <col min="13081" max="13130" width="12.140625" style="64" hidden="1" customWidth="1"/>
    <col min="13131" max="13312" width="12.140625" style="64" customWidth="1"/>
    <col min="13313" max="13313" width="4.00390625" style="64" customWidth="1"/>
    <col min="13314" max="13314" width="17.8515625" style="64" customWidth="1"/>
    <col min="13315" max="13315" width="30.8515625" style="64" customWidth="1"/>
    <col min="13316" max="13316" width="17.57421875" style="64" customWidth="1"/>
    <col min="13317" max="13317" width="12.140625" style="64" customWidth="1"/>
    <col min="13318" max="13318" width="4.421875" style="64" customWidth="1"/>
    <col min="13319" max="13319" width="10.7109375" style="64" customWidth="1"/>
    <col min="13320" max="13320" width="11.00390625" style="64" customWidth="1"/>
    <col min="13321" max="13321" width="51.28125" style="64" customWidth="1"/>
    <col min="13322" max="13322" width="4.28125" style="64" customWidth="1"/>
    <col min="13323" max="13323" width="12.8515625" style="64" customWidth="1"/>
    <col min="13324" max="13324" width="12.00390625" style="64" customWidth="1"/>
    <col min="13325" max="13325" width="15.7109375" style="64" customWidth="1"/>
    <col min="13326" max="13336" width="12.140625" style="64" customWidth="1"/>
    <col min="13337" max="13386" width="12.140625" style="64" hidden="1" customWidth="1"/>
    <col min="13387" max="13568" width="12.140625" style="64" customWidth="1"/>
    <col min="13569" max="13569" width="4.00390625" style="64" customWidth="1"/>
    <col min="13570" max="13570" width="17.8515625" style="64" customWidth="1"/>
    <col min="13571" max="13571" width="30.8515625" style="64" customWidth="1"/>
    <col min="13572" max="13572" width="17.57421875" style="64" customWidth="1"/>
    <col min="13573" max="13573" width="12.140625" style="64" customWidth="1"/>
    <col min="13574" max="13574" width="4.421875" style="64" customWidth="1"/>
    <col min="13575" max="13575" width="10.7109375" style="64" customWidth="1"/>
    <col min="13576" max="13576" width="11.00390625" style="64" customWidth="1"/>
    <col min="13577" max="13577" width="51.28125" style="64" customWidth="1"/>
    <col min="13578" max="13578" width="4.28125" style="64" customWidth="1"/>
    <col min="13579" max="13579" width="12.8515625" style="64" customWidth="1"/>
    <col min="13580" max="13580" width="12.00390625" style="64" customWidth="1"/>
    <col min="13581" max="13581" width="15.7109375" style="64" customWidth="1"/>
    <col min="13582" max="13592" width="12.140625" style="64" customWidth="1"/>
    <col min="13593" max="13642" width="12.140625" style="64" hidden="1" customWidth="1"/>
    <col min="13643" max="13824" width="12.140625" style="64" customWidth="1"/>
    <col min="13825" max="13825" width="4.00390625" style="64" customWidth="1"/>
    <col min="13826" max="13826" width="17.8515625" style="64" customWidth="1"/>
    <col min="13827" max="13827" width="30.8515625" style="64" customWidth="1"/>
    <col min="13828" max="13828" width="17.57421875" style="64" customWidth="1"/>
    <col min="13829" max="13829" width="12.140625" style="64" customWidth="1"/>
    <col min="13830" max="13830" width="4.421875" style="64" customWidth="1"/>
    <col min="13831" max="13831" width="10.7109375" style="64" customWidth="1"/>
    <col min="13832" max="13832" width="11.00390625" style="64" customWidth="1"/>
    <col min="13833" max="13833" width="51.28125" style="64" customWidth="1"/>
    <col min="13834" max="13834" width="4.28125" style="64" customWidth="1"/>
    <col min="13835" max="13835" width="12.8515625" style="64" customWidth="1"/>
    <col min="13836" max="13836" width="12.00390625" style="64" customWidth="1"/>
    <col min="13837" max="13837" width="15.7109375" style="64" customWidth="1"/>
    <col min="13838" max="13848" width="12.140625" style="64" customWidth="1"/>
    <col min="13849" max="13898" width="12.140625" style="64" hidden="1" customWidth="1"/>
    <col min="13899" max="14080" width="12.140625" style="64" customWidth="1"/>
    <col min="14081" max="14081" width="4.00390625" style="64" customWidth="1"/>
    <col min="14082" max="14082" width="17.8515625" style="64" customWidth="1"/>
    <col min="14083" max="14083" width="30.8515625" style="64" customWidth="1"/>
    <col min="14084" max="14084" width="17.57421875" style="64" customWidth="1"/>
    <col min="14085" max="14085" width="12.140625" style="64" customWidth="1"/>
    <col min="14086" max="14086" width="4.421875" style="64" customWidth="1"/>
    <col min="14087" max="14087" width="10.7109375" style="64" customWidth="1"/>
    <col min="14088" max="14088" width="11.00390625" style="64" customWidth="1"/>
    <col min="14089" max="14089" width="51.28125" style="64" customWidth="1"/>
    <col min="14090" max="14090" width="4.28125" style="64" customWidth="1"/>
    <col min="14091" max="14091" width="12.8515625" style="64" customWidth="1"/>
    <col min="14092" max="14092" width="12.00390625" style="64" customWidth="1"/>
    <col min="14093" max="14093" width="15.7109375" style="64" customWidth="1"/>
    <col min="14094" max="14104" width="12.140625" style="64" customWidth="1"/>
    <col min="14105" max="14154" width="12.140625" style="64" hidden="1" customWidth="1"/>
    <col min="14155" max="14336" width="12.140625" style="64" customWidth="1"/>
    <col min="14337" max="14337" width="4.00390625" style="64" customWidth="1"/>
    <col min="14338" max="14338" width="17.8515625" style="64" customWidth="1"/>
    <col min="14339" max="14339" width="30.8515625" style="64" customWidth="1"/>
    <col min="14340" max="14340" width="17.57421875" style="64" customWidth="1"/>
    <col min="14341" max="14341" width="12.140625" style="64" customWidth="1"/>
    <col min="14342" max="14342" width="4.421875" style="64" customWidth="1"/>
    <col min="14343" max="14343" width="10.7109375" style="64" customWidth="1"/>
    <col min="14344" max="14344" width="11.00390625" style="64" customWidth="1"/>
    <col min="14345" max="14345" width="51.28125" style="64" customWidth="1"/>
    <col min="14346" max="14346" width="4.28125" style="64" customWidth="1"/>
    <col min="14347" max="14347" width="12.8515625" style="64" customWidth="1"/>
    <col min="14348" max="14348" width="12.00390625" style="64" customWidth="1"/>
    <col min="14349" max="14349" width="15.7109375" style="64" customWidth="1"/>
    <col min="14350" max="14360" width="12.140625" style="64" customWidth="1"/>
    <col min="14361" max="14410" width="12.140625" style="64" hidden="1" customWidth="1"/>
    <col min="14411" max="14592" width="12.140625" style="64" customWidth="1"/>
    <col min="14593" max="14593" width="4.00390625" style="64" customWidth="1"/>
    <col min="14594" max="14594" width="17.8515625" style="64" customWidth="1"/>
    <col min="14595" max="14595" width="30.8515625" style="64" customWidth="1"/>
    <col min="14596" max="14596" width="17.57421875" style="64" customWidth="1"/>
    <col min="14597" max="14597" width="12.140625" style="64" customWidth="1"/>
    <col min="14598" max="14598" width="4.421875" style="64" customWidth="1"/>
    <col min="14599" max="14599" width="10.7109375" style="64" customWidth="1"/>
    <col min="14600" max="14600" width="11.00390625" style="64" customWidth="1"/>
    <col min="14601" max="14601" width="51.28125" style="64" customWidth="1"/>
    <col min="14602" max="14602" width="4.28125" style="64" customWidth="1"/>
    <col min="14603" max="14603" width="12.8515625" style="64" customWidth="1"/>
    <col min="14604" max="14604" width="12.00390625" style="64" customWidth="1"/>
    <col min="14605" max="14605" width="15.7109375" style="64" customWidth="1"/>
    <col min="14606" max="14616" width="12.140625" style="64" customWidth="1"/>
    <col min="14617" max="14666" width="12.140625" style="64" hidden="1" customWidth="1"/>
    <col min="14667" max="14848" width="12.140625" style="64" customWidth="1"/>
    <col min="14849" max="14849" width="4.00390625" style="64" customWidth="1"/>
    <col min="14850" max="14850" width="17.8515625" style="64" customWidth="1"/>
    <col min="14851" max="14851" width="30.8515625" style="64" customWidth="1"/>
    <col min="14852" max="14852" width="17.57421875" style="64" customWidth="1"/>
    <col min="14853" max="14853" width="12.140625" style="64" customWidth="1"/>
    <col min="14854" max="14854" width="4.421875" style="64" customWidth="1"/>
    <col min="14855" max="14855" width="10.7109375" style="64" customWidth="1"/>
    <col min="14856" max="14856" width="11.00390625" style="64" customWidth="1"/>
    <col min="14857" max="14857" width="51.28125" style="64" customWidth="1"/>
    <col min="14858" max="14858" width="4.28125" style="64" customWidth="1"/>
    <col min="14859" max="14859" width="12.8515625" style="64" customWidth="1"/>
    <col min="14860" max="14860" width="12.00390625" style="64" customWidth="1"/>
    <col min="14861" max="14861" width="15.7109375" style="64" customWidth="1"/>
    <col min="14862" max="14872" width="12.140625" style="64" customWidth="1"/>
    <col min="14873" max="14922" width="12.140625" style="64" hidden="1" customWidth="1"/>
    <col min="14923" max="15104" width="12.140625" style="64" customWidth="1"/>
    <col min="15105" max="15105" width="4.00390625" style="64" customWidth="1"/>
    <col min="15106" max="15106" width="17.8515625" style="64" customWidth="1"/>
    <col min="15107" max="15107" width="30.8515625" style="64" customWidth="1"/>
    <col min="15108" max="15108" width="17.57421875" style="64" customWidth="1"/>
    <col min="15109" max="15109" width="12.140625" style="64" customWidth="1"/>
    <col min="15110" max="15110" width="4.421875" style="64" customWidth="1"/>
    <col min="15111" max="15111" width="10.7109375" style="64" customWidth="1"/>
    <col min="15112" max="15112" width="11.00390625" style="64" customWidth="1"/>
    <col min="15113" max="15113" width="51.28125" style="64" customWidth="1"/>
    <col min="15114" max="15114" width="4.28125" style="64" customWidth="1"/>
    <col min="15115" max="15115" width="12.8515625" style="64" customWidth="1"/>
    <col min="15116" max="15116" width="12.00390625" style="64" customWidth="1"/>
    <col min="15117" max="15117" width="15.7109375" style="64" customWidth="1"/>
    <col min="15118" max="15128" width="12.140625" style="64" customWidth="1"/>
    <col min="15129" max="15178" width="12.140625" style="64" hidden="1" customWidth="1"/>
    <col min="15179" max="15360" width="12.140625" style="64" customWidth="1"/>
    <col min="15361" max="15361" width="4.00390625" style="64" customWidth="1"/>
    <col min="15362" max="15362" width="17.8515625" style="64" customWidth="1"/>
    <col min="15363" max="15363" width="30.8515625" style="64" customWidth="1"/>
    <col min="15364" max="15364" width="17.57421875" style="64" customWidth="1"/>
    <col min="15365" max="15365" width="12.140625" style="64" customWidth="1"/>
    <col min="15366" max="15366" width="4.421875" style="64" customWidth="1"/>
    <col min="15367" max="15367" width="10.7109375" style="64" customWidth="1"/>
    <col min="15368" max="15368" width="11.00390625" style="64" customWidth="1"/>
    <col min="15369" max="15369" width="51.28125" style="64" customWidth="1"/>
    <col min="15370" max="15370" width="4.28125" style="64" customWidth="1"/>
    <col min="15371" max="15371" width="12.8515625" style="64" customWidth="1"/>
    <col min="15372" max="15372" width="12.00390625" style="64" customWidth="1"/>
    <col min="15373" max="15373" width="15.7109375" style="64" customWidth="1"/>
    <col min="15374" max="15384" width="12.140625" style="64" customWidth="1"/>
    <col min="15385" max="15434" width="12.140625" style="64" hidden="1" customWidth="1"/>
    <col min="15435" max="15616" width="12.140625" style="64" customWidth="1"/>
    <col min="15617" max="15617" width="4.00390625" style="64" customWidth="1"/>
    <col min="15618" max="15618" width="17.8515625" style="64" customWidth="1"/>
    <col min="15619" max="15619" width="30.8515625" style="64" customWidth="1"/>
    <col min="15620" max="15620" width="17.57421875" style="64" customWidth="1"/>
    <col min="15621" max="15621" width="12.140625" style="64" customWidth="1"/>
    <col min="15622" max="15622" width="4.421875" style="64" customWidth="1"/>
    <col min="15623" max="15623" width="10.7109375" style="64" customWidth="1"/>
    <col min="15624" max="15624" width="11.00390625" style="64" customWidth="1"/>
    <col min="15625" max="15625" width="51.28125" style="64" customWidth="1"/>
    <col min="15626" max="15626" width="4.28125" style="64" customWidth="1"/>
    <col min="15627" max="15627" width="12.8515625" style="64" customWidth="1"/>
    <col min="15628" max="15628" width="12.00390625" style="64" customWidth="1"/>
    <col min="15629" max="15629" width="15.7109375" style="64" customWidth="1"/>
    <col min="15630" max="15640" width="12.140625" style="64" customWidth="1"/>
    <col min="15641" max="15690" width="12.140625" style="64" hidden="1" customWidth="1"/>
    <col min="15691" max="15872" width="12.140625" style="64" customWidth="1"/>
    <col min="15873" max="15873" width="4.00390625" style="64" customWidth="1"/>
    <col min="15874" max="15874" width="17.8515625" style="64" customWidth="1"/>
    <col min="15875" max="15875" width="30.8515625" style="64" customWidth="1"/>
    <col min="15876" max="15876" width="17.57421875" style="64" customWidth="1"/>
    <col min="15877" max="15877" width="12.140625" style="64" customWidth="1"/>
    <col min="15878" max="15878" width="4.421875" style="64" customWidth="1"/>
    <col min="15879" max="15879" width="10.7109375" style="64" customWidth="1"/>
    <col min="15880" max="15880" width="11.00390625" style="64" customWidth="1"/>
    <col min="15881" max="15881" width="51.28125" style="64" customWidth="1"/>
    <col min="15882" max="15882" width="4.28125" style="64" customWidth="1"/>
    <col min="15883" max="15883" width="12.8515625" style="64" customWidth="1"/>
    <col min="15884" max="15884" width="12.00390625" style="64" customWidth="1"/>
    <col min="15885" max="15885" width="15.7109375" style="64" customWidth="1"/>
    <col min="15886" max="15896" width="12.140625" style="64" customWidth="1"/>
    <col min="15897" max="15946" width="12.140625" style="64" hidden="1" customWidth="1"/>
    <col min="15947" max="16128" width="12.140625" style="64" customWidth="1"/>
    <col min="16129" max="16129" width="4.00390625" style="64" customWidth="1"/>
    <col min="16130" max="16130" width="17.8515625" style="64" customWidth="1"/>
    <col min="16131" max="16131" width="30.8515625" style="64" customWidth="1"/>
    <col min="16132" max="16132" width="17.57421875" style="64" customWidth="1"/>
    <col min="16133" max="16133" width="12.140625" style="64" customWidth="1"/>
    <col min="16134" max="16134" width="4.421875" style="64" customWidth="1"/>
    <col min="16135" max="16135" width="10.7109375" style="64" customWidth="1"/>
    <col min="16136" max="16136" width="11.00390625" style="64" customWidth="1"/>
    <col min="16137" max="16137" width="51.28125" style="64" customWidth="1"/>
    <col min="16138" max="16138" width="4.28125" style="64" customWidth="1"/>
    <col min="16139" max="16139" width="12.8515625" style="64" customWidth="1"/>
    <col min="16140" max="16140" width="12.00390625" style="64" customWidth="1"/>
    <col min="16141" max="16141" width="15.7109375" style="64" customWidth="1"/>
    <col min="16142" max="16152" width="12.140625" style="64" customWidth="1"/>
    <col min="16153" max="16202" width="12.140625" style="64" hidden="1" customWidth="1"/>
    <col min="16203" max="16384" width="12.140625" style="64" customWidth="1"/>
  </cols>
  <sheetData>
    <row r="1" spans="1:13" ht="54.75" customHeight="1">
      <c r="A1" s="154" t="str">
        <f>C4</f>
        <v>SO 102 – Komunikace a zpevněné plochy  ul. Kotlářská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5" customHeight="1">
      <c r="A2" s="155" t="s">
        <v>0</v>
      </c>
      <c r="B2" s="156"/>
      <c r="C2" s="157" t="s">
        <v>1</v>
      </c>
      <c r="D2" s="171"/>
      <c r="E2" s="156" t="s">
        <v>2</v>
      </c>
      <c r="F2" s="156"/>
      <c r="G2" s="156" t="s">
        <v>3</v>
      </c>
      <c r="H2" s="159" t="s">
        <v>4</v>
      </c>
      <c r="I2" s="159" t="s">
        <v>5</v>
      </c>
      <c r="J2" s="156"/>
      <c r="K2" s="156"/>
      <c r="L2" s="156"/>
      <c r="M2" s="160"/>
    </row>
    <row r="3" spans="1:13" ht="15" customHeight="1">
      <c r="A3" s="151"/>
      <c r="B3" s="150"/>
      <c r="C3" s="158"/>
      <c r="D3" s="158"/>
      <c r="E3" s="150"/>
      <c r="F3" s="150"/>
      <c r="G3" s="150"/>
      <c r="H3" s="150"/>
      <c r="I3" s="150"/>
      <c r="J3" s="150"/>
      <c r="K3" s="150"/>
      <c r="L3" s="150"/>
      <c r="M3" s="153"/>
    </row>
    <row r="4" spans="1:13" ht="15" customHeight="1">
      <c r="A4" s="149" t="s">
        <v>6</v>
      </c>
      <c r="B4" s="150"/>
      <c r="C4" s="152" t="s">
        <v>1083</v>
      </c>
      <c r="D4" s="150"/>
      <c r="E4" s="150" t="s">
        <v>8</v>
      </c>
      <c r="F4" s="150"/>
      <c r="G4" s="150" t="s">
        <v>3</v>
      </c>
      <c r="H4" s="152" t="s">
        <v>9</v>
      </c>
      <c r="I4" s="152" t="s">
        <v>10</v>
      </c>
      <c r="J4" s="150"/>
      <c r="K4" s="150"/>
      <c r="L4" s="150"/>
      <c r="M4" s="153"/>
    </row>
    <row r="5" spans="1:13" ht="15" customHeight="1">
      <c r="A5" s="151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3"/>
    </row>
    <row r="6" spans="1:13" ht="15" customHeight="1">
      <c r="A6" s="149" t="s">
        <v>11</v>
      </c>
      <c r="B6" s="150"/>
      <c r="C6" s="152" t="s">
        <v>12</v>
      </c>
      <c r="D6" s="150"/>
      <c r="E6" s="150" t="s">
        <v>13</v>
      </c>
      <c r="F6" s="150"/>
      <c r="G6" s="150" t="s">
        <v>3</v>
      </c>
      <c r="H6" s="152" t="s">
        <v>14</v>
      </c>
      <c r="I6" s="150" t="s">
        <v>15</v>
      </c>
      <c r="J6" s="150"/>
      <c r="K6" s="150"/>
      <c r="L6" s="150"/>
      <c r="M6" s="153"/>
    </row>
    <row r="7" spans="1:13" ht="15" customHeight="1">
      <c r="A7" s="151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3"/>
    </row>
    <row r="8" spans="1:13" ht="15" customHeight="1">
      <c r="A8" s="149" t="s">
        <v>16</v>
      </c>
      <c r="B8" s="150"/>
      <c r="C8" s="152" t="s">
        <v>3</v>
      </c>
      <c r="D8" s="150"/>
      <c r="E8" s="150" t="s">
        <v>17</v>
      </c>
      <c r="F8" s="150"/>
      <c r="G8" s="150" t="s">
        <v>1291</v>
      </c>
      <c r="H8" s="152" t="s">
        <v>19</v>
      </c>
      <c r="I8" s="152" t="s">
        <v>20</v>
      </c>
      <c r="J8" s="150"/>
      <c r="K8" s="150"/>
      <c r="L8" s="150"/>
      <c r="M8" s="153"/>
    </row>
    <row r="9" spans="1:13" ht="15" customHeight="1" thickBot="1">
      <c r="A9" s="151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3"/>
    </row>
    <row r="10" spans="1:64" ht="15" customHeight="1">
      <c r="A10" s="67" t="s">
        <v>21</v>
      </c>
      <c r="B10" s="68" t="s">
        <v>22</v>
      </c>
      <c r="C10" s="164" t="s">
        <v>23</v>
      </c>
      <c r="D10" s="164"/>
      <c r="E10" s="164"/>
      <c r="F10" s="164"/>
      <c r="G10" s="164"/>
      <c r="H10" s="164"/>
      <c r="I10" s="165"/>
      <c r="J10" s="68" t="s">
        <v>24</v>
      </c>
      <c r="K10" s="69" t="s">
        <v>25</v>
      </c>
      <c r="L10" s="70" t="s">
        <v>26</v>
      </c>
      <c r="M10" s="71" t="s">
        <v>27</v>
      </c>
      <c r="BK10" s="72" t="s">
        <v>29</v>
      </c>
      <c r="BL10" s="73" t="s">
        <v>30</v>
      </c>
    </row>
    <row r="11" spans="1:62" ht="15" customHeight="1" thickBot="1">
      <c r="A11" s="74" t="s">
        <v>3</v>
      </c>
      <c r="B11" s="75" t="s">
        <v>3</v>
      </c>
      <c r="C11" s="166" t="s">
        <v>31</v>
      </c>
      <c r="D11" s="166"/>
      <c r="E11" s="166"/>
      <c r="F11" s="166"/>
      <c r="G11" s="166"/>
      <c r="H11" s="166"/>
      <c r="I11" s="167"/>
      <c r="J11" s="75" t="s">
        <v>3</v>
      </c>
      <c r="K11" s="75" t="s">
        <v>3</v>
      </c>
      <c r="L11" s="76" t="s">
        <v>32</v>
      </c>
      <c r="M11" s="77" t="s">
        <v>35</v>
      </c>
      <c r="Z11" s="72" t="s">
        <v>37</v>
      </c>
      <c r="AA11" s="72" t="s">
        <v>38</v>
      </c>
      <c r="AB11" s="72" t="s">
        <v>39</v>
      </c>
      <c r="AC11" s="72" t="s">
        <v>40</v>
      </c>
      <c r="AD11" s="72" t="s">
        <v>41</v>
      </c>
      <c r="AE11" s="72" t="s">
        <v>42</v>
      </c>
      <c r="AF11" s="72" t="s">
        <v>43</v>
      </c>
      <c r="AG11" s="72" t="s">
        <v>44</v>
      </c>
      <c r="AH11" s="72" t="s">
        <v>45</v>
      </c>
      <c r="BH11" s="72" t="s">
        <v>46</v>
      </c>
      <c r="BI11" s="72" t="s">
        <v>47</v>
      </c>
      <c r="BJ11" s="72" t="s">
        <v>48</v>
      </c>
    </row>
    <row r="12" spans="1:47" ht="15" customHeight="1">
      <c r="A12" s="78" t="s">
        <v>49</v>
      </c>
      <c r="B12" s="79" t="s">
        <v>50</v>
      </c>
      <c r="C12" s="168" t="s">
        <v>51</v>
      </c>
      <c r="D12" s="168"/>
      <c r="E12" s="168"/>
      <c r="F12" s="168"/>
      <c r="G12" s="168"/>
      <c r="H12" s="168"/>
      <c r="I12" s="168"/>
      <c r="J12" s="80" t="s">
        <v>3</v>
      </c>
      <c r="K12" s="80" t="s">
        <v>3</v>
      </c>
      <c r="L12" s="80" t="s">
        <v>3</v>
      </c>
      <c r="M12" s="81">
        <f>SUM(M13:M59)</f>
        <v>0</v>
      </c>
      <c r="AI12" s="72" t="s">
        <v>49</v>
      </c>
      <c r="AS12" s="82">
        <f>SUM(AJ13:AJ59)</f>
        <v>0</v>
      </c>
      <c r="AT12" s="82">
        <f>SUM(AK13:AK59)</f>
        <v>0</v>
      </c>
      <c r="AU12" s="82">
        <f>SUM(AL13:AL59)</f>
        <v>0</v>
      </c>
    </row>
    <row r="13" spans="1:64" ht="15" customHeight="1">
      <c r="A13" s="65" t="s">
        <v>52</v>
      </c>
      <c r="B13" s="66" t="s">
        <v>53</v>
      </c>
      <c r="C13" s="150" t="s">
        <v>54</v>
      </c>
      <c r="D13" s="150"/>
      <c r="E13" s="150"/>
      <c r="F13" s="150"/>
      <c r="G13" s="150"/>
      <c r="H13" s="150"/>
      <c r="I13" s="150"/>
      <c r="J13" s="66" t="s">
        <v>55</v>
      </c>
      <c r="K13" s="83">
        <v>1</v>
      </c>
      <c r="L13" s="108"/>
      <c r="M13" s="84">
        <f>K13*L13</f>
        <v>0</v>
      </c>
      <c r="Z13" s="83">
        <f>IF(AQ13="5",BJ13,0)</f>
        <v>0</v>
      </c>
      <c r="AB13" s="83">
        <f>IF(AQ13="1",BH13,0)</f>
        <v>0</v>
      </c>
      <c r="AC13" s="83">
        <f>IF(AQ13="1",BI13,0)</f>
        <v>0</v>
      </c>
      <c r="AD13" s="83">
        <f>IF(AQ13="7",BH13,0)</f>
        <v>0</v>
      </c>
      <c r="AE13" s="83">
        <f>IF(AQ13="7",BI13,0)</f>
        <v>0</v>
      </c>
      <c r="AF13" s="83">
        <f>IF(AQ13="2",BH13,0)</f>
        <v>0</v>
      </c>
      <c r="AG13" s="83">
        <f>IF(AQ13="2",BI13,0)</f>
        <v>0</v>
      </c>
      <c r="AH13" s="83">
        <f>IF(AQ13="0",BJ13,0)</f>
        <v>0</v>
      </c>
      <c r="AI13" s="72" t="s">
        <v>49</v>
      </c>
      <c r="AJ13" s="83">
        <f>IF(AN13=0,M13,0)</f>
        <v>0</v>
      </c>
      <c r="AK13" s="83">
        <f>IF(AN13=15,M13,0)</f>
        <v>0</v>
      </c>
      <c r="AL13" s="83">
        <f>IF(AN13=21,M13,0)</f>
        <v>0</v>
      </c>
      <c r="AN13" s="83">
        <v>21</v>
      </c>
      <c r="AO13" s="83">
        <f>L13*0</f>
        <v>0</v>
      </c>
      <c r="AP13" s="83">
        <f>L13*(1-0)</f>
        <v>0</v>
      </c>
      <c r="AQ13" s="85" t="s">
        <v>52</v>
      </c>
      <c r="AV13" s="83">
        <f>AW13+AX13</f>
        <v>0</v>
      </c>
      <c r="AW13" s="83">
        <f>K13*AO13</f>
        <v>0</v>
      </c>
      <c r="AX13" s="83">
        <f>K13*AP13</f>
        <v>0</v>
      </c>
      <c r="AY13" s="85" t="s">
        <v>56</v>
      </c>
      <c r="AZ13" s="85" t="s">
        <v>57</v>
      </c>
      <c r="BA13" s="72" t="s">
        <v>58</v>
      </c>
      <c r="BC13" s="83">
        <f>AW13+AX13</f>
        <v>0</v>
      </c>
      <c r="BD13" s="83">
        <f>L13/(100-BE13)*100</f>
        <v>0</v>
      </c>
      <c r="BE13" s="83">
        <v>0</v>
      </c>
      <c r="BF13" s="83">
        <f>13</f>
        <v>13</v>
      </c>
      <c r="BH13" s="83">
        <f>K13*AO13</f>
        <v>0</v>
      </c>
      <c r="BI13" s="83">
        <f>K13*AP13</f>
        <v>0</v>
      </c>
      <c r="BJ13" s="83">
        <f>K13*L13</f>
        <v>0</v>
      </c>
      <c r="BK13" s="83"/>
      <c r="BL13" s="83">
        <v>11</v>
      </c>
    </row>
    <row r="14" spans="1:13" ht="15" customHeight="1">
      <c r="A14" s="86"/>
      <c r="C14" s="87" t="s">
        <v>52</v>
      </c>
      <c r="I14" s="87" t="s">
        <v>49</v>
      </c>
      <c r="K14" s="88">
        <v>1</v>
      </c>
      <c r="M14" s="89"/>
    </row>
    <row r="15" spans="1:13" ht="40.5" customHeight="1">
      <c r="A15" s="86"/>
      <c r="B15" s="90" t="s">
        <v>60</v>
      </c>
      <c r="C15" s="161" t="s">
        <v>61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3"/>
    </row>
    <row r="16" spans="1:64" ht="15" customHeight="1">
      <c r="A16" s="65" t="s">
        <v>62</v>
      </c>
      <c r="B16" s="66" t="s">
        <v>63</v>
      </c>
      <c r="C16" s="150" t="s">
        <v>64</v>
      </c>
      <c r="D16" s="150"/>
      <c r="E16" s="150"/>
      <c r="F16" s="150"/>
      <c r="G16" s="150"/>
      <c r="H16" s="150"/>
      <c r="I16" s="150"/>
      <c r="J16" s="66" t="s">
        <v>55</v>
      </c>
      <c r="K16" s="83">
        <v>1</v>
      </c>
      <c r="L16" s="108"/>
      <c r="M16" s="84">
        <f>K16*L16</f>
        <v>0</v>
      </c>
      <c r="Z16" s="83">
        <f>IF(AQ16="5",BJ16,0)</f>
        <v>0</v>
      </c>
      <c r="AB16" s="83">
        <f>IF(AQ16="1",BH16,0)</f>
        <v>0</v>
      </c>
      <c r="AC16" s="83">
        <f>IF(AQ16="1",BI16,0)</f>
        <v>0</v>
      </c>
      <c r="AD16" s="83">
        <f>IF(AQ16="7",BH16,0)</f>
        <v>0</v>
      </c>
      <c r="AE16" s="83">
        <f>IF(AQ16="7",BI16,0)</f>
        <v>0</v>
      </c>
      <c r="AF16" s="83">
        <f>IF(AQ16="2",BH16,0)</f>
        <v>0</v>
      </c>
      <c r="AG16" s="83">
        <f>IF(AQ16="2",BI16,0)</f>
        <v>0</v>
      </c>
      <c r="AH16" s="83">
        <f>IF(AQ16="0",BJ16,0)</f>
        <v>0</v>
      </c>
      <c r="AI16" s="72" t="s">
        <v>49</v>
      </c>
      <c r="AJ16" s="83">
        <f>IF(AN16=0,M16,0)</f>
        <v>0</v>
      </c>
      <c r="AK16" s="83">
        <f>IF(AN16=15,M16,0)</f>
        <v>0</v>
      </c>
      <c r="AL16" s="83">
        <f>IF(AN16=21,M16,0)</f>
        <v>0</v>
      </c>
      <c r="AN16" s="83">
        <v>21</v>
      </c>
      <c r="AO16" s="83">
        <f>L16*0</f>
        <v>0</v>
      </c>
      <c r="AP16" s="83">
        <f>L16*(1-0)</f>
        <v>0</v>
      </c>
      <c r="AQ16" s="85" t="s">
        <v>52</v>
      </c>
      <c r="AV16" s="83">
        <f>AW16+AX16</f>
        <v>0</v>
      </c>
      <c r="AW16" s="83">
        <f>K16*AO16</f>
        <v>0</v>
      </c>
      <c r="AX16" s="83">
        <f>K16*AP16</f>
        <v>0</v>
      </c>
      <c r="AY16" s="85" t="s">
        <v>56</v>
      </c>
      <c r="AZ16" s="85" t="s">
        <v>57</v>
      </c>
      <c r="BA16" s="72" t="s">
        <v>58</v>
      </c>
      <c r="BC16" s="83">
        <f>AW16+AX16</f>
        <v>0</v>
      </c>
      <c r="BD16" s="83">
        <f>L16/(100-BE16)*100</f>
        <v>0</v>
      </c>
      <c r="BE16" s="83">
        <v>0</v>
      </c>
      <c r="BF16" s="83">
        <f>16</f>
        <v>16</v>
      </c>
      <c r="BH16" s="83">
        <f>K16*AO16</f>
        <v>0</v>
      </c>
      <c r="BI16" s="83">
        <f>K16*AP16</f>
        <v>0</v>
      </c>
      <c r="BJ16" s="83">
        <f>K16*L16</f>
        <v>0</v>
      </c>
      <c r="BK16" s="83"/>
      <c r="BL16" s="83">
        <v>11</v>
      </c>
    </row>
    <row r="17" spans="1:13" ht="15" customHeight="1">
      <c r="A17" s="86"/>
      <c r="C17" s="87" t="s">
        <v>52</v>
      </c>
      <c r="I17" s="87" t="s">
        <v>49</v>
      </c>
      <c r="K17" s="88">
        <v>1</v>
      </c>
      <c r="M17" s="89"/>
    </row>
    <row r="18" spans="1:13" ht="40.5" customHeight="1">
      <c r="A18" s="86"/>
      <c r="B18" s="90" t="s">
        <v>60</v>
      </c>
      <c r="C18" s="161" t="s">
        <v>61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3"/>
    </row>
    <row r="19" spans="1:64" ht="15" customHeight="1">
      <c r="A19" s="65" t="s">
        <v>65</v>
      </c>
      <c r="B19" s="66" t="s">
        <v>69</v>
      </c>
      <c r="C19" s="150" t="s">
        <v>70</v>
      </c>
      <c r="D19" s="150"/>
      <c r="E19" s="150"/>
      <c r="F19" s="150"/>
      <c r="G19" s="150"/>
      <c r="H19" s="150"/>
      <c r="I19" s="150"/>
      <c r="J19" s="66" t="s">
        <v>55</v>
      </c>
      <c r="K19" s="83">
        <v>2</v>
      </c>
      <c r="L19" s="108"/>
      <c r="M19" s="84">
        <f>K19*L19</f>
        <v>0</v>
      </c>
      <c r="Z19" s="83">
        <f>IF(AQ19="5",BJ19,0)</f>
        <v>0</v>
      </c>
      <c r="AB19" s="83">
        <f>IF(AQ19="1",BH19,0)</f>
        <v>0</v>
      </c>
      <c r="AC19" s="83">
        <f>IF(AQ19="1",BI19,0)</f>
        <v>0</v>
      </c>
      <c r="AD19" s="83">
        <f>IF(AQ19="7",BH19,0)</f>
        <v>0</v>
      </c>
      <c r="AE19" s="83">
        <f>IF(AQ19="7",BI19,0)</f>
        <v>0</v>
      </c>
      <c r="AF19" s="83">
        <f>IF(AQ19="2",BH19,0)</f>
        <v>0</v>
      </c>
      <c r="AG19" s="83">
        <f>IF(AQ19="2",BI19,0)</f>
        <v>0</v>
      </c>
      <c r="AH19" s="83">
        <f>IF(AQ19="0",BJ19,0)</f>
        <v>0</v>
      </c>
      <c r="AI19" s="72" t="s">
        <v>49</v>
      </c>
      <c r="AJ19" s="83">
        <f>IF(AN19=0,M19,0)</f>
        <v>0</v>
      </c>
      <c r="AK19" s="83">
        <f>IF(AN19=15,M19,0)</f>
        <v>0</v>
      </c>
      <c r="AL19" s="83">
        <f>IF(AN19=21,M19,0)</f>
        <v>0</v>
      </c>
      <c r="AN19" s="83">
        <v>21</v>
      </c>
      <c r="AO19" s="83">
        <f>L19*0.00669596767057019</f>
        <v>0</v>
      </c>
      <c r="AP19" s="83">
        <f>L19*(1-0.00669596767057019)</f>
        <v>0</v>
      </c>
      <c r="AQ19" s="85" t="s">
        <v>52</v>
      </c>
      <c r="AV19" s="83">
        <f>AW19+AX19</f>
        <v>0</v>
      </c>
      <c r="AW19" s="83">
        <f>K19*AO19</f>
        <v>0</v>
      </c>
      <c r="AX19" s="83">
        <f>K19*AP19</f>
        <v>0</v>
      </c>
      <c r="AY19" s="85" t="s">
        <v>56</v>
      </c>
      <c r="AZ19" s="85" t="s">
        <v>57</v>
      </c>
      <c r="BA19" s="72" t="s">
        <v>58</v>
      </c>
      <c r="BC19" s="83">
        <f>AW19+AX19</f>
        <v>0</v>
      </c>
      <c r="BD19" s="83">
        <f>L19/(100-BE19)*100</f>
        <v>0</v>
      </c>
      <c r="BE19" s="83">
        <v>0</v>
      </c>
      <c r="BF19" s="83">
        <f>19</f>
        <v>19</v>
      </c>
      <c r="BH19" s="83">
        <f>K19*AO19</f>
        <v>0</v>
      </c>
      <c r="BI19" s="83">
        <f>K19*AP19</f>
        <v>0</v>
      </c>
      <c r="BJ19" s="83">
        <f>K19*L19</f>
        <v>0</v>
      </c>
      <c r="BK19" s="83"/>
      <c r="BL19" s="83">
        <v>11</v>
      </c>
    </row>
    <row r="20" spans="1:13" ht="15" customHeight="1">
      <c r="A20" s="86"/>
      <c r="C20" s="87" t="s">
        <v>62</v>
      </c>
      <c r="I20" s="87" t="s">
        <v>49</v>
      </c>
      <c r="K20" s="88">
        <v>2</v>
      </c>
      <c r="M20" s="89"/>
    </row>
    <row r="21" spans="1:13" ht="40.5" customHeight="1">
      <c r="A21" s="86"/>
      <c r="B21" s="90" t="s">
        <v>60</v>
      </c>
      <c r="C21" s="161" t="s">
        <v>72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3"/>
    </row>
    <row r="22" spans="1:64" ht="15" customHeight="1">
      <c r="A22" s="65" t="s">
        <v>68</v>
      </c>
      <c r="B22" s="66" t="s">
        <v>77</v>
      </c>
      <c r="C22" s="150" t="s">
        <v>78</v>
      </c>
      <c r="D22" s="150"/>
      <c r="E22" s="150"/>
      <c r="F22" s="150"/>
      <c r="G22" s="150"/>
      <c r="H22" s="150"/>
      <c r="I22" s="150"/>
      <c r="J22" s="66" t="s">
        <v>79</v>
      </c>
      <c r="K22" s="83">
        <v>63</v>
      </c>
      <c r="L22" s="108"/>
      <c r="M22" s="84">
        <f>K22*L22</f>
        <v>0</v>
      </c>
      <c r="Z22" s="83">
        <f>IF(AQ22="5",BJ22,0)</f>
        <v>0</v>
      </c>
      <c r="AB22" s="83">
        <f>IF(AQ22="1",BH22,0)</f>
        <v>0</v>
      </c>
      <c r="AC22" s="83">
        <f>IF(AQ22="1",BI22,0)</f>
        <v>0</v>
      </c>
      <c r="AD22" s="83">
        <f>IF(AQ22="7",BH22,0)</f>
        <v>0</v>
      </c>
      <c r="AE22" s="83">
        <f>IF(AQ22="7",BI22,0)</f>
        <v>0</v>
      </c>
      <c r="AF22" s="83">
        <f>IF(AQ22="2",BH22,0)</f>
        <v>0</v>
      </c>
      <c r="AG22" s="83">
        <f>IF(AQ22="2",BI22,0)</f>
        <v>0</v>
      </c>
      <c r="AH22" s="83">
        <f>IF(AQ22="0",BJ22,0)</f>
        <v>0</v>
      </c>
      <c r="AI22" s="72" t="s">
        <v>49</v>
      </c>
      <c r="AJ22" s="83">
        <f>IF(AN22=0,M22,0)</f>
        <v>0</v>
      </c>
      <c r="AK22" s="83">
        <f>IF(AN22=15,M22,0)</f>
        <v>0</v>
      </c>
      <c r="AL22" s="83">
        <f>IF(AN22=21,M22,0)</f>
        <v>0</v>
      </c>
      <c r="AN22" s="83">
        <v>21</v>
      </c>
      <c r="AO22" s="83">
        <f>L22*0</f>
        <v>0</v>
      </c>
      <c r="AP22" s="83">
        <f>L22*(1-0)</f>
        <v>0</v>
      </c>
      <c r="AQ22" s="85" t="s">
        <v>52</v>
      </c>
      <c r="AV22" s="83">
        <f>AW22+AX22</f>
        <v>0</v>
      </c>
      <c r="AW22" s="83">
        <f>K22*AO22</f>
        <v>0</v>
      </c>
      <c r="AX22" s="83">
        <f>K22*AP22</f>
        <v>0</v>
      </c>
      <c r="AY22" s="85" t="s">
        <v>56</v>
      </c>
      <c r="AZ22" s="85" t="s">
        <v>57</v>
      </c>
      <c r="BA22" s="72" t="s">
        <v>58</v>
      </c>
      <c r="BC22" s="83">
        <f>AW22+AX22</f>
        <v>0</v>
      </c>
      <c r="BD22" s="83">
        <f>L22/(100-BE22)*100</f>
        <v>0</v>
      </c>
      <c r="BE22" s="83">
        <v>0</v>
      </c>
      <c r="BF22" s="83">
        <f>22</f>
        <v>22</v>
      </c>
      <c r="BH22" s="83">
        <f>K22*AO22</f>
        <v>0</v>
      </c>
      <c r="BI22" s="83">
        <f>K22*AP22</f>
        <v>0</v>
      </c>
      <c r="BJ22" s="83">
        <f>K22*L22</f>
        <v>0</v>
      </c>
      <c r="BK22" s="83"/>
      <c r="BL22" s="83">
        <v>11</v>
      </c>
    </row>
    <row r="23" spans="1:13" ht="15" customHeight="1">
      <c r="A23" s="86"/>
      <c r="C23" s="87" t="s">
        <v>1084</v>
      </c>
      <c r="I23" s="87" t="s">
        <v>49</v>
      </c>
      <c r="K23" s="88">
        <v>63.00000000000001</v>
      </c>
      <c r="M23" s="89"/>
    </row>
    <row r="24" spans="1:13" ht="54" customHeight="1">
      <c r="A24" s="86"/>
      <c r="B24" s="90" t="s">
        <v>60</v>
      </c>
      <c r="C24" s="161" t="s">
        <v>81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3"/>
    </row>
    <row r="25" spans="1:64" ht="15" customHeight="1">
      <c r="A25" s="65" t="s">
        <v>73</v>
      </c>
      <c r="B25" s="66" t="s">
        <v>143</v>
      </c>
      <c r="C25" s="150" t="s">
        <v>144</v>
      </c>
      <c r="D25" s="150"/>
      <c r="E25" s="150"/>
      <c r="F25" s="150"/>
      <c r="G25" s="150"/>
      <c r="H25" s="150"/>
      <c r="I25" s="150"/>
      <c r="J25" s="66" t="s">
        <v>79</v>
      </c>
      <c r="K25" s="83">
        <v>6</v>
      </c>
      <c r="L25" s="108"/>
      <c r="M25" s="84">
        <f>K25*L25</f>
        <v>0</v>
      </c>
      <c r="Z25" s="83">
        <f>IF(AQ25="5",BJ25,0)</f>
        <v>0</v>
      </c>
      <c r="AB25" s="83">
        <f>IF(AQ25="1",BH25,0)</f>
        <v>0</v>
      </c>
      <c r="AC25" s="83">
        <f>IF(AQ25="1",BI25,0)</f>
        <v>0</v>
      </c>
      <c r="AD25" s="83">
        <f>IF(AQ25="7",BH25,0)</f>
        <v>0</v>
      </c>
      <c r="AE25" s="83">
        <f>IF(AQ25="7",BI25,0)</f>
        <v>0</v>
      </c>
      <c r="AF25" s="83">
        <f>IF(AQ25="2",BH25,0)</f>
        <v>0</v>
      </c>
      <c r="AG25" s="83">
        <f>IF(AQ25="2",BI25,0)</f>
        <v>0</v>
      </c>
      <c r="AH25" s="83">
        <f>IF(AQ25="0",BJ25,0)</f>
        <v>0</v>
      </c>
      <c r="AI25" s="72" t="s">
        <v>49</v>
      </c>
      <c r="AJ25" s="83">
        <f>IF(AN25=0,M25,0)</f>
        <v>0</v>
      </c>
      <c r="AK25" s="83">
        <f>IF(AN25=15,M25,0)</f>
        <v>0</v>
      </c>
      <c r="AL25" s="83">
        <f>IF(AN25=21,M25,0)</f>
        <v>0</v>
      </c>
      <c r="AN25" s="83">
        <v>21</v>
      </c>
      <c r="AO25" s="83">
        <f>L25*0</f>
        <v>0</v>
      </c>
      <c r="AP25" s="83">
        <f>L25*(1-0)</f>
        <v>0</v>
      </c>
      <c r="AQ25" s="85" t="s">
        <v>52</v>
      </c>
      <c r="AV25" s="83">
        <f>AW25+AX25</f>
        <v>0</v>
      </c>
      <c r="AW25" s="83">
        <f>K25*AO25</f>
        <v>0</v>
      </c>
      <c r="AX25" s="83">
        <f>K25*AP25</f>
        <v>0</v>
      </c>
      <c r="AY25" s="85" t="s">
        <v>56</v>
      </c>
      <c r="AZ25" s="85" t="s">
        <v>57</v>
      </c>
      <c r="BA25" s="72" t="s">
        <v>58</v>
      </c>
      <c r="BC25" s="83">
        <f>AW25+AX25</f>
        <v>0</v>
      </c>
      <c r="BD25" s="83">
        <f>L25/(100-BE25)*100</f>
        <v>0</v>
      </c>
      <c r="BE25" s="83">
        <v>0</v>
      </c>
      <c r="BF25" s="83">
        <f>25</f>
        <v>25</v>
      </c>
      <c r="BH25" s="83">
        <f>K25*AO25</f>
        <v>0</v>
      </c>
      <c r="BI25" s="83">
        <f>K25*AP25</f>
        <v>0</v>
      </c>
      <c r="BJ25" s="83">
        <f>K25*L25</f>
        <v>0</v>
      </c>
      <c r="BK25" s="83"/>
      <c r="BL25" s="83">
        <v>11</v>
      </c>
    </row>
    <row r="26" spans="1:13" ht="15" customHeight="1">
      <c r="A26" s="86"/>
      <c r="C26" s="87" t="s">
        <v>1085</v>
      </c>
      <c r="I26" s="87" t="s">
        <v>49</v>
      </c>
      <c r="K26" s="88">
        <v>6.000000000000001</v>
      </c>
      <c r="M26" s="89"/>
    </row>
    <row r="27" spans="1:64" ht="15" customHeight="1">
      <c r="A27" s="65" t="s">
        <v>59</v>
      </c>
      <c r="B27" s="66" t="s">
        <v>152</v>
      </c>
      <c r="C27" s="150" t="s">
        <v>153</v>
      </c>
      <c r="D27" s="150"/>
      <c r="E27" s="150"/>
      <c r="F27" s="150"/>
      <c r="G27" s="150"/>
      <c r="H27" s="150"/>
      <c r="I27" s="150"/>
      <c r="J27" s="66" t="s">
        <v>79</v>
      </c>
      <c r="K27" s="83">
        <v>164.423</v>
      </c>
      <c r="L27" s="108"/>
      <c r="M27" s="84">
        <f>K27*L27</f>
        <v>0</v>
      </c>
      <c r="Z27" s="83">
        <f>IF(AQ27="5",BJ27,0)</f>
        <v>0</v>
      </c>
      <c r="AB27" s="83">
        <f>IF(AQ27="1",BH27,0)</f>
        <v>0</v>
      </c>
      <c r="AC27" s="83">
        <f>IF(AQ27="1",BI27,0)</f>
        <v>0</v>
      </c>
      <c r="AD27" s="83">
        <f>IF(AQ27="7",BH27,0)</f>
        <v>0</v>
      </c>
      <c r="AE27" s="83">
        <f>IF(AQ27="7",BI27,0)</f>
        <v>0</v>
      </c>
      <c r="AF27" s="83">
        <f>IF(AQ27="2",BH27,0)</f>
        <v>0</v>
      </c>
      <c r="AG27" s="83">
        <f>IF(AQ27="2",BI27,0)</f>
        <v>0</v>
      </c>
      <c r="AH27" s="83">
        <f>IF(AQ27="0",BJ27,0)</f>
        <v>0</v>
      </c>
      <c r="AI27" s="72" t="s">
        <v>49</v>
      </c>
      <c r="AJ27" s="83">
        <f>IF(AN27=0,M27,0)</f>
        <v>0</v>
      </c>
      <c r="AK27" s="83">
        <f>IF(AN27=15,M27,0)</f>
        <v>0</v>
      </c>
      <c r="AL27" s="83">
        <f>IF(AN27=21,M27,0)</f>
        <v>0</v>
      </c>
      <c r="AN27" s="83">
        <v>21</v>
      </c>
      <c r="AO27" s="83">
        <f>L27*0</f>
        <v>0</v>
      </c>
      <c r="AP27" s="83">
        <f>L27*(1-0)</f>
        <v>0</v>
      </c>
      <c r="AQ27" s="85" t="s">
        <v>52</v>
      </c>
      <c r="AV27" s="83">
        <f>AW27+AX27</f>
        <v>0</v>
      </c>
      <c r="AW27" s="83">
        <f>K27*AO27</f>
        <v>0</v>
      </c>
      <c r="AX27" s="83">
        <f>K27*AP27</f>
        <v>0</v>
      </c>
      <c r="AY27" s="85" t="s">
        <v>56</v>
      </c>
      <c r="AZ27" s="85" t="s">
        <v>57</v>
      </c>
      <c r="BA27" s="72" t="s">
        <v>58</v>
      </c>
      <c r="BC27" s="83">
        <f>AW27+AX27</f>
        <v>0</v>
      </c>
      <c r="BD27" s="83">
        <f>L27/(100-BE27)*100</f>
        <v>0</v>
      </c>
      <c r="BE27" s="83">
        <v>0</v>
      </c>
      <c r="BF27" s="83">
        <f>27</f>
        <v>27</v>
      </c>
      <c r="BH27" s="83">
        <f>K27*AO27</f>
        <v>0</v>
      </c>
      <c r="BI27" s="83">
        <f>K27*AP27</f>
        <v>0</v>
      </c>
      <c r="BJ27" s="83">
        <f>K27*L27</f>
        <v>0</v>
      </c>
      <c r="BK27" s="83"/>
      <c r="BL27" s="83">
        <v>11</v>
      </c>
    </row>
    <row r="28" spans="1:13" ht="15" customHeight="1">
      <c r="A28" s="86"/>
      <c r="C28" s="87" t="s">
        <v>1086</v>
      </c>
      <c r="I28" s="87" t="s">
        <v>155</v>
      </c>
      <c r="K28" s="88">
        <v>432.00000000000006</v>
      </c>
      <c r="M28" s="89"/>
    </row>
    <row r="29" spans="1:13" ht="15" customHeight="1">
      <c r="A29" s="86"/>
      <c r="C29" s="87" t="s">
        <v>1087</v>
      </c>
      <c r="I29" s="87" t="s">
        <v>1088</v>
      </c>
      <c r="K29" s="88">
        <v>42</v>
      </c>
      <c r="M29" s="89"/>
    </row>
    <row r="30" spans="1:13" ht="15" customHeight="1">
      <c r="A30" s="86"/>
      <c r="C30" s="87" t="s">
        <v>1089</v>
      </c>
      <c r="I30" s="87" t="s">
        <v>1090</v>
      </c>
      <c r="K30" s="88">
        <v>3.6</v>
      </c>
      <c r="M30" s="89"/>
    </row>
    <row r="31" spans="1:13" ht="15" customHeight="1">
      <c r="A31" s="86"/>
      <c r="C31" s="87" t="s">
        <v>1091</v>
      </c>
      <c r="I31" s="87" t="s">
        <v>88</v>
      </c>
      <c r="K31" s="88">
        <v>-201.114</v>
      </c>
      <c r="M31" s="89"/>
    </row>
    <row r="32" spans="1:13" ht="15" customHeight="1">
      <c r="A32" s="86"/>
      <c r="C32" s="87" t="s">
        <v>1092</v>
      </c>
      <c r="I32" s="87" t="s">
        <v>90</v>
      </c>
      <c r="K32" s="88">
        <v>-112.063</v>
      </c>
      <c r="M32" s="89"/>
    </row>
    <row r="33" spans="1:13" ht="54" customHeight="1">
      <c r="A33" s="86"/>
      <c r="B33" s="90" t="s">
        <v>60</v>
      </c>
      <c r="C33" s="161" t="s">
        <v>150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3"/>
    </row>
    <row r="34" spans="1:64" ht="15" customHeight="1">
      <c r="A34" s="65" t="s">
        <v>82</v>
      </c>
      <c r="B34" s="66" t="s">
        <v>157</v>
      </c>
      <c r="C34" s="150" t="s">
        <v>158</v>
      </c>
      <c r="D34" s="150"/>
      <c r="E34" s="150"/>
      <c r="F34" s="150"/>
      <c r="G34" s="150"/>
      <c r="H34" s="150"/>
      <c r="I34" s="150"/>
      <c r="J34" s="66" t="s">
        <v>79</v>
      </c>
      <c r="K34" s="83">
        <v>162.823</v>
      </c>
      <c r="L34" s="108"/>
      <c r="M34" s="84">
        <f>K34*L34</f>
        <v>0</v>
      </c>
      <c r="Z34" s="83">
        <f>IF(AQ34="5",BJ34,0)</f>
        <v>0</v>
      </c>
      <c r="AB34" s="83">
        <f>IF(AQ34="1",BH34,0)</f>
        <v>0</v>
      </c>
      <c r="AC34" s="83">
        <f>IF(AQ34="1",BI34,0)</f>
        <v>0</v>
      </c>
      <c r="AD34" s="83">
        <f>IF(AQ34="7",BH34,0)</f>
        <v>0</v>
      </c>
      <c r="AE34" s="83">
        <f>IF(AQ34="7",BI34,0)</f>
        <v>0</v>
      </c>
      <c r="AF34" s="83">
        <f>IF(AQ34="2",BH34,0)</f>
        <v>0</v>
      </c>
      <c r="AG34" s="83">
        <f>IF(AQ34="2",BI34,0)</f>
        <v>0</v>
      </c>
      <c r="AH34" s="83">
        <f>IF(AQ34="0",BJ34,0)</f>
        <v>0</v>
      </c>
      <c r="AI34" s="72" t="s">
        <v>49</v>
      </c>
      <c r="AJ34" s="83">
        <f>IF(AN34=0,M34,0)</f>
        <v>0</v>
      </c>
      <c r="AK34" s="83">
        <f>IF(AN34=15,M34,0)</f>
        <v>0</v>
      </c>
      <c r="AL34" s="83">
        <f>IF(AN34=21,M34,0)</f>
        <v>0</v>
      </c>
      <c r="AN34" s="83">
        <v>21</v>
      </c>
      <c r="AO34" s="83">
        <f>L34*0</f>
        <v>0</v>
      </c>
      <c r="AP34" s="83">
        <f>L34*(1-0)</f>
        <v>0</v>
      </c>
      <c r="AQ34" s="85" t="s">
        <v>52</v>
      </c>
      <c r="AV34" s="83">
        <f>AW34+AX34</f>
        <v>0</v>
      </c>
      <c r="AW34" s="83">
        <f>K34*AO34</f>
        <v>0</v>
      </c>
      <c r="AX34" s="83">
        <f>K34*AP34</f>
        <v>0</v>
      </c>
      <c r="AY34" s="85" t="s">
        <v>56</v>
      </c>
      <c r="AZ34" s="85" t="s">
        <v>57</v>
      </c>
      <c r="BA34" s="72" t="s">
        <v>58</v>
      </c>
      <c r="BC34" s="83">
        <f>AW34+AX34</f>
        <v>0</v>
      </c>
      <c r="BD34" s="83">
        <f>L34/(100-BE34)*100</f>
        <v>0</v>
      </c>
      <c r="BE34" s="83">
        <v>0</v>
      </c>
      <c r="BF34" s="83">
        <f>34</f>
        <v>34</v>
      </c>
      <c r="BH34" s="83">
        <f>K34*AO34</f>
        <v>0</v>
      </c>
      <c r="BI34" s="83">
        <f>K34*AP34</f>
        <v>0</v>
      </c>
      <c r="BJ34" s="83">
        <f>K34*L34</f>
        <v>0</v>
      </c>
      <c r="BK34" s="83"/>
      <c r="BL34" s="83">
        <v>11</v>
      </c>
    </row>
    <row r="35" spans="1:13" ht="15" customHeight="1">
      <c r="A35" s="86"/>
      <c r="C35" s="87" t="s">
        <v>1093</v>
      </c>
      <c r="I35" s="87" t="s">
        <v>159</v>
      </c>
      <c r="K35" s="88">
        <v>474.00000000000006</v>
      </c>
      <c r="M35" s="89"/>
    </row>
    <row r="36" spans="1:13" ht="15" customHeight="1">
      <c r="A36" s="86"/>
      <c r="C36" s="87" t="s">
        <v>62</v>
      </c>
      <c r="I36" s="87" t="s">
        <v>1094</v>
      </c>
      <c r="K36" s="88">
        <v>2</v>
      </c>
      <c r="M36" s="89"/>
    </row>
    <row r="37" spans="1:13" ht="15" customHeight="1">
      <c r="A37" s="86"/>
      <c r="C37" s="87" t="s">
        <v>1091</v>
      </c>
      <c r="I37" s="87" t="s">
        <v>88</v>
      </c>
      <c r="K37" s="88">
        <v>-201.114</v>
      </c>
      <c r="M37" s="89"/>
    </row>
    <row r="38" spans="1:13" ht="15" customHeight="1">
      <c r="A38" s="86"/>
      <c r="C38" s="87" t="s">
        <v>1092</v>
      </c>
      <c r="I38" s="87" t="s">
        <v>90</v>
      </c>
      <c r="K38" s="88">
        <v>-112.063</v>
      </c>
      <c r="M38" s="89"/>
    </row>
    <row r="39" spans="1:13" ht="67.5" customHeight="1">
      <c r="A39" s="86"/>
      <c r="B39" s="90" t="s">
        <v>60</v>
      </c>
      <c r="C39" s="161" t="s">
        <v>160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3"/>
    </row>
    <row r="40" spans="1:64" ht="15" customHeight="1">
      <c r="A40" s="65" t="s">
        <v>71</v>
      </c>
      <c r="B40" s="66" t="s">
        <v>167</v>
      </c>
      <c r="C40" s="150" t="s">
        <v>168</v>
      </c>
      <c r="D40" s="150"/>
      <c r="E40" s="150"/>
      <c r="F40" s="150"/>
      <c r="G40" s="150"/>
      <c r="H40" s="150"/>
      <c r="I40" s="150"/>
      <c r="J40" s="66" t="s">
        <v>79</v>
      </c>
      <c r="K40" s="83">
        <v>72</v>
      </c>
      <c r="L40" s="108"/>
      <c r="M40" s="84">
        <f>K40*L40</f>
        <v>0</v>
      </c>
      <c r="Z40" s="83">
        <f>IF(AQ40="5",BJ40,0)</f>
        <v>0</v>
      </c>
      <c r="AB40" s="83">
        <f>IF(AQ40="1",BH40,0)</f>
        <v>0</v>
      </c>
      <c r="AC40" s="83">
        <f>IF(AQ40="1",BI40,0)</f>
        <v>0</v>
      </c>
      <c r="AD40" s="83">
        <f>IF(AQ40="7",BH40,0)</f>
        <v>0</v>
      </c>
      <c r="AE40" s="83">
        <f>IF(AQ40="7",BI40,0)</f>
        <v>0</v>
      </c>
      <c r="AF40" s="83">
        <f>IF(AQ40="2",BH40,0)</f>
        <v>0</v>
      </c>
      <c r="AG40" s="83">
        <f>IF(AQ40="2",BI40,0)</f>
        <v>0</v>
      </c>
      <c r="AH40" s="83">
        <f>IF(AQ40="0",BJ40,0)</f>
        <v>0</v>
      </c>
      <c r="AI40" s="72" t="s">
        <v>49</v>
      </c>
      <c r="AJ40" s="83">
        <f>IF(AN40=0,M40,0)</f>
        <v>0</v>
      </c>
      <c r="AK40" s="83">
        <f>IF(AN40=15,M40,0)</f>
        <v>0</v>
      </c>
      <c r="AL40" s="83">
        <f>IF(AN40=21,M40,0)</f>
        <v>0</v>
      </c>
      <c r="AN40" s="83">
        <v>21</v>
      </c>
      <c r="AO40" s="83">
        <f>L40*0</f>
        <v>0</v>
      </c>
      <c r="AP40" s="83">
        <f>L40*(1-0)</f>
        <v>0</v>
      </c>
      <c r="AQ40" s="85" t="s">
        <v>52</v>
      </c>
      <c r="AV40" s="83">
        <f>AW40+AX40</f>
        <v>0</v>
      </c>
      <c r="AW40" s="83">
        <f>K40*AO40</f>
        <v>0</v>
      </c>
      <c r="AX40" s="83">
        <f>K40*AP40</f>
        <v>0</v>
      </c>
      <c r="AY40" s="85" t="s">
        <v>56</v>
      </c>
      <c r="AZ40" s="85" t="s">
        <v>57</v>
      </c>
      <c r="BA40" s="72" t="s">
        <v>58</v>
      </c>
      <c r="BC40" s="83">
        <f>AW40+AX40</f>
        <v>0</v>
      </c>
      <c r="BD40" s="83">
        <f>L40/(100-BE40)*100</f>
        <v>0</v>
      </c>
      <c r="BE40" s="83">
        <v>0</v>
      </c>
      <c r="BF40" s="83">
        <f>40</f>
        <v>40</v>
      </c>
      <c r="BH40" s="83">
        <f>K40*AO40</f>
        <v>0</v>
      </c>
      <c r="BI40" s="83">
        <f>K40*AP40</f>
        <v>0</v>
      </c>
      <c r="BJ40" s="83">
        <f>K40*L40</f>
        <v>0</v>
      </c>
      <c r="BK40" s="83"/>
      <c r="BL40" s="83">
        <v>11</v>
      </c>
    </row>
    <row r="41" spans="1:13" ht="15" customHeight="1">
      <c r="A41" s="86"/>
      <c r="C41" s="87" t="s">
        <v>1095</v>
      </c>
      <c r="I41" s="87" t="s">
        <v>1096</v>
      </c>
      <c r="K41" s="88">
        <v>72</v>
      </c>
      <c r="M41" s="89"/>
    </row>
    <row r="42" spans="1:13" ht="54" customHeight="1">
      <c r="A42" s="86"/>
      <c r="B42" s="90" t="s">
        <v>60</v>
      </c>
      <c r="C42" s="161" t="s">
        <v>175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3"/>
    </row>
    <row r="43" spans="1:64" ht="15" customHeight="1">
      <c r="A43" s="65" t="s">
        <v>101</v>
      </c>
      <c r="B43" s="66" t="s">
        <v>177</v>
      </c>
      <c r="C43" s="150" t="s">
        <v>178</v>
      </c>
      <c r="D43" s="150"/>
      <c r="E43" s="150"/>
      <c r="F43" s="150"/>
      <c r="G43" s="150"/>
      <c r="H43" s="150"/>
      <c r="I43" s="150"/>
      <c r="J43" s="66" t="s">
        <v>79</v>
      </c>
      <c r="K43" s="83">
        <v>160.823</v>
      </c>
      <c r="L43" s="108"/>
      <c r="M43" s="84">
        <f>K43*L43</f>
        <v>0</v>
      </c>
      <c r="Z43" s="83">
        <f>IF(AQ43="5",BJ43,0)</f>
        <v>0</v>
      </c>
      <c r="AB43" s="83">
        <f>IF(AQ43="1",BH43,0)</f>
        <v>0</v>
      </c>
      <c r="AC43" s="83">
        <f>IF(AQ43="1",BI43,0)</f>
        <v>0</v>
      </c>
      <c r="AD43" s="83">
        <f>IF(AQ43="7",BH43,0)</f>
        <v>0</v>
      </c>
      <c r="AE43" s="83">
        <f>IF(AQ43="7",BI43,0)</f>
        <v>0</v>
      </c>
      <c r="AF43" s="83">
        <f>IF(AQ43="2",BH43,0)</f>
        <v>0</v>
      </c>
      <c r="AG43" s="83">
        <f>IF(AQ43="2",BI43,0)</f>
        <v>0</v>
      </c>
      <c r="AH43" s="83">
        <f>IF(AQ43="0",BJ43,0)</f>
        <v>0</v>
      </c>
      <c r="AI43" s="72" t="s">
        <v>49</v>
      </c>
      <c r="AJ43" s="83">
        <f>IF(AN43=0,M43,0)</f>
        <v>0</v>
      </c>
      <c r="AK43" s="83">
        <f>IF(AN43=15,M43,0)</f>
        <v>0</v>
      </c>
      <c r="AL43" s="83">
        <f>IF(AN43=21,M43,0)</f>
        <v>0</v>
      </c>
      <c r="AN43" s="83">
        <v>21</v>
      </c>
      <c r="AO43" s="83">
        <f>L43*0</f>
        <v>0</v>
      </c>
      <c r="AP43" s="83">
        <f>L43*(1-0)</f>
        <v>0</v>
      </c>
      <c r="AQ43" s="85" t="s">
        <v>52</v>
      </c>
      <c r="AV43" s="83">
        <f>AW43+AX43</f>
        <v>0</v>
      </c>
      <c r="AW43" s="83">
        <f>K43*AO43</f>
        <v>0</v>
      </c>
      <c r="AX43" s="83">
        <f>K43*AP43</f>
        <v>0</v>
      </c>
      <c r="AY43" s="85" t="s">
        <v>56</v>
      </c>
      <c r="AZ43" s="85" t="s">
        <v>57</v>
      </c>
      <c r="BA43" s="72" t="s">
        <v>58</v>
      </c>
      <c r="BC43" s="83">
        <f>AW43+AX43</f>
        <v>0</v>
      </c>
      <c r="BD43" s="83">
        <f>L43/(100-BE43)*100</f>
        <v>0</v>
      </c>
      <c r="BE43" s="83">
        <v>0</v>
      </c>
      <c r="BF43" s="83">
        <f>43</f>
        <v>43</v>
      </c>
      <c r="BH43" s="83">
        <f>K43*AO43</f>
        <v>0</v>
      </c>
      <c r="BI43" s="83">
        <f>K43*AP43</f>
        <v>0</v>
      </c>
      <c r="BJ43" s="83">
        <f>K43*L43</f>
        <v>0</v>
      </c>
      <c r="BK43" s="83"/>
      <c r="BL43" s="83">
        <v>11</v>
      </c>
    </row>
    <row r="44" spans="1:13" ht="15" customHeight="1">
      <c r="A44" s="86"/>
      <c r="C44" s="87" t="s">
        <v>1093</v>
      </c>
      <c r="I44" s="87" t="s">
        <v>49</v>
      </c>
      <c r="K44" s="88">
        <v>474.00000000000006</v>
      </c>
      <c r="M44" s="89"/>
    </row>
    <row r="45" spans="1:13" ht="15" customHeight="1">
      <c r="A45" s="86"/>
      <c r="C45" s="87" t="s">
        <v>1091</v>
      </c>
      <c r="I45" s="87" t="s">
        <v>88</v>
      </c>
      <c r="K45" s="88">
        <v>-201.114</v>
      </c>
      <c r="M45" s="89"/>
    </row>
    <row r="46" spans="1:13" ht="15" customHeight="1">
      <c r="A46" s="86"/>
      <c r="C46" s="87" t="s">
        <v>1092</v>
      </c>
      <c r="I46" s="87" t="s">
        <v>90</v>
      </c>
      <c r="K46" s="88">
        <v>-112.063</v>
      </c>
      <c r="M46" s="89"/>
    </row>
    <row r="47" spans="1:13" ht="54" customHeight="1">
      <c r="A47" s="86"/>
      <c r="B47" s="90" t="s">
        <v>60</v>
      </c>
      <c r="C47" s="161" t="s">
        <v>175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3"/>
    </row>
    <row r="48" spans="1:64" ht="15" customHeight="1">
      <c r="A48" s="65" t="s">
        <v>111</v>
      </c>
      <c r="B48" s="66" t="s">
        <v>189</v>
      </c>
      <c r="C48" s="150" t="s">
        <v>190</v>
      </c>
      <c r="D48" s="150"/>
      <c r="E48" s="150"/>
      <c r="F48" s="150"/>
      <c r="G48" s="150"/>
      <c r="H48" s="150"/>
      <c r="I48" s="150"/>
      <c r="J48" s="66" t="s">
        <v>191</v>
      </c>
      <c r="K48" s="83">
        <v>118</v>
      </c>
      <c r="L48" s="108"/>
      <c r="M48" s="84">
        <f>K48*L48</f>
        <v>0</v>
      </c>
      <c r="Z48" s="83">
        <f>IF(AQ48="5",BJ48,0)</f>
        <v>0</v>
      </c>
      <c r="AB48" s="83">
        <f>IF(AQ48="1",BH48,0)</f>
        <v>0</v>
      </c>
      <c r="AC48" s="83">
        <f>IF(AQ48="1",BI48,0)</f>
        <v>0</v>
      </c>
      <c r="AD48" s="83">
        <f>IF(AQ48="7",BH48,0)</f>
        <v>0</v>
      </c>
      <c r="AE48" s="83">
        <f>IF(AQ48="7",BI48,0)</f>
        <v>0</v>
      </c>
      <c r="AF48" s="83">
        <f>IF(AQ48="2",BH48,0)</f>
        <v>0</v>
      </c>
      <c r="AG48" s="83">
        <f>IF(AQ48="2",BI48,0)</f>
        <v>0</v>
      </c>
      <c r="AH48" s="83">
        <f>IF(AQ48="0",BJ48,0)</f>
        <v>0</v>
      </c>
      <c r="AI48" s="72" t="s">
        <v>49</v>
      </c>
      <c r="AJ48" s="83">
        <f>IF(AN48=0,M48,0)</f>
        <v>0</v>
      </c>
      <c r="AK48" s="83">
        <f>IF(AN48=15,M48,0)</f>
        <v>0</v>
      </c>
      <c r="AL48" s="83">
        <f>IF(AN48=21,M48,0)</f>
        <v>0</v>
      </c>
      <c r="AN48" s="83">
        <v>21</v>
      </c>
      <c r="AO48" s="83">
        <f>L48*0</f>
        <v>0</v>
      </c>
      <c r="AP48" s="83">
        <f>L48*(1-0)</f>
        <v>0</v>
      </c>
      <c r="AQ48" s="85" t="s">
        <v>52</v>
      </c>
      <c r="AV48" s="83">
        <f>AW48+AX48</f>
        <v>0</v>
      </c>
      <c r="AW48" s="83">
        <f>K48*AO48</f>
        <v>0</v>
      </c>
      <c r="AX48" s="83">
        <f>K48*AP48</f>
        <v>0</v>
      </c>
      <c r="AY48" s="85" t="s">
        <v>56</v>
      </c>
      <c r="AZ48" s="85" t="s">
        <v>57</v>
      </c>
      <c r="BA48" s="72" t="s">
        <v>58</v>
      </c>
      <c r="BC48" s="83">
        <f>AW48+AX48</f>
        <v>0</v>
      </c>
      <c r="BD48" s="83">
        <f>L48/(100-BE48)*100</f>
        <v>0</v>
      </c>
      <c r="BE48" s="83">
        <v>0</v>
      </c>
      <c r="BF48" s="83">
        <f>48</f>
        <v>48</v>
      </c>
      <c r="BH48" s="83">
        <f>K48*AO48</f>
        <v>0</v>
      </c>
      <c r="BI48" s="83">
        <f>K48*AP48</f>
        <v>0</v>
      </c>
      <c r="BJ48" s="83">
        <f>K48*L48</f>
        <v>0</v>
      </c>
      <c r="BK48" s="83"/>
      <c r="BL48" s="83">
        <v>11</v>
      </c>
    </row>
    <row r="49" spans="1:13" ht="15" customHeight="1">
      <c r="A49" s="86"/>
      <c r="C49" s="87" t="s">
        <v>151</v>
      </c>
      <c r="I49" s="87" t="s">
        <v>193</v>
      </c>
      <c r="K49" s="88">
        <v>16</v>
      </c>
      <c r="M49" s="89"/>
    </row>
    <row r="50" spans="1:13" ht="15" customHeight="1">
      <c r="A50" s="86"/>
      <c r="C50" s="87" t="s">
        <v>332</v>
      </c>
      <c r="I50" s="87" t="s">
        <v>195</v>
      </c>
      <c r="K50" s="88">
        <v>102.00000000000001</v>
      </c>
      <c r="M50" s="89"/>
    </row>
    <row r="51" spans="1:64" ht="15" customHeight="1">
      <c r="A51" s="65" t="s">
        <v>50</v>
      </c>
      <c r="B51" s="66" t="s">
        <v>205</v>
      </c>
      <c r="C51" s="150" t="s">
        <v>206</v>
      </c>
      <c r="D51" s="150"/>
      <c r="E51" s="150"/>
      <c r="F51" s="150"/>
      <c r="G51" s="150"/>
      <c r="H51" s="150"/>
      <c r="I51" s="150"/>
      <c r="J51" s="66" t="s">
        <v>55</v>
      </c>
      <c r="K51" s="83">
        <v>3</v>
      </c>
      <c r="L51" s="108"/>
      <c r="M51" s="84">
        <f>K51*L51</f>
        <v>0</v>
      </c>
      <c r="Z51" s="83">
        <f>IF(AQ51="5",BJ51,0)</f>
        <v>0</v>
      </c>
      <c r="AB51" s="83">
        <f>IF(AQ51="1",BH51,0)</f>
        <v>0</v>
      </c>
      <c r="AC51" s="83">
        <f>IF(AQ51="1",BI51,0)</f>
        <v>0</v>
      </c>
      <c r="AD51" s="83">
        <f>IF(AQ51="7",BH51,0)</f>
        <v>0</v>
      </c>
      <c r="AE51" s="83">
        <f>IF(AQ51="7",BI51,0)</f>
        <v>0</v>
      </c>
      <c r="AF51" s="83">
        <f>IF(AQ51="2",BH51,0)</f>
        <v>0</v>
      </c>
      <c r="AG51" s="83">
        <f>IF(AQ51="2",BI51,0)</f>
        <v>0</v>
      </c>
      <c r="AH51" s="83">
        <f>IF(AQ51="0",BJ51,0)</f>
        <v>0</v>
      </c>
      <c r="AI51" s="72" t="s">
        <v>49</v>
      </c>
      <c r="AJ51" s="83">
        <f>IF(AN51=0,M51,0)</f>
        <v>0</v>
      </c>
      <c r="AK51" s="83">
        <f>IF(AN51=15,M51,0)</f>
        <v>0</v>
      </c>
      <c r="AL51" s="83">
        <f>IF(AN51=21,M51,0)</f>
        <v>0</v>
      </c>
      <c r="AN51" s="83">
        <v>21</v>
      </c>
      <c r="AO51" s="83">
        <f>L51*0</f>
        <v>0</v>
      </c>
      <c r="AP51" s="83">
        <f>L51*(1-0)</f>
        <v>0</v>
      </c>
      <c r="AQ51" s="85" t="s">
        <v>52</v>
      </c>
      <c r="AV51" s="83">
        <f>AW51+AX51</f>
        <v>0</v>
      </c>
      <c r="AW51" s="83">
        <f>K51*AO51</f>
        <v>0</v>
      </c>
      <c r="AX51" s="83">
        <f>K51*AP51</f>
        <v>0</v>
      </c>
      <c r="AY51" s="85" t="s">
        <v>56</v>
      </c>
      <c r="AZ51" s="85" t="s">
        <v>57</v>
      </c>
      <c r="BA51" s="72" t="s">
        <v>58</v>
      </c>
      <c r="BC51" s="83">
        <f>AW51+AX51</f>
        <v>0</v>
      </c>
      <c r="BD51" s="83">
        <f>L51/(100-BE51)*100</f>
        <v>0</v>
      </c>
      <c r="BE51" s="83">
        <v>0</v>
      </c>
      <c r="BF51" s="83">
        <f>51</f>
        <v>51</v>
      </c>
      <c r="BH51" s="83">
        <f>K51*AO51</f>
        <v>0</v>
      </c>
      <c r="BI51" s="83">
        <f>K51*AP51</f>
        <v>0</v>
      </c>
      <c r="BJ51" s="83">
        <f>K51*L51</f>
        <v>0</v>
      </c>
      <c r="BK51" s="83"/>
      <c r="BL51" s="83">
        <v>11</v>
      </c>
    </row>
    <row r="52" spans="1:13" ht="15" customHeight="1">
      <c r="A52" s="86"/>
      <c r="C52" s="87" t="s">
        <v>65</v>
      </c>
      <c r="I52" s="87" t="s">
        <v>49</v>
      </c>
      <c r="K52" s="88">
        <v>3.0000000000000004</v>
      </c>
      <c r="M52" s="89"/>
    </row>
    <row r="53" spans="1:13" ht="27" customHeight="1">
      <c r="A53" s="86"/>
      <c r="B53" s="90" t="s">
        <v>60</v>
      </c>
      <c r="C53" s="161" t="s">
        <v>207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3"/>
    </row>
    <row r="54" spans="1:64" ht="15" customHeight="1">
      <c r="A54" s="65" t="s">
        <v>123</v>
      </c>
      <c r="B54" s="66" t="s">
        <v>209</v>
      </c>
      <c r="C54" s="150" t="s">
        <v>210</v>
      </c>
      <c r="D54" s="150"/>
      <c r="E54" s="150"/>
      <c r="F54" s="150"/>
      <c r="G54" s="150"/>
      <c r="H54" s="150"/>
      <c r="I54" s="150"/>
      <c r="J54" s="66" t="s">
        <v>191</v>
      </c>
      <c r="K54" s="83">
        <v>156</v>
      </c>
      <c r="L54" s="108"/>
      <c r="M54" s="84">
        <f>K54*L54</f>
        <v>0</v>
      </c>
      <c r="Z54" s="83">
        <f>IF(AQ54="5",BJ54,0)</f>
        <v>0</v>
      </c>
      <c r="AB54" s="83">
        <f>IF(AQ54="1",BH54,0)</f>
        <v>0</v>
      </c>
      <c r="AC54" s="83">
        <f>IF(AQ54="1",BI54,0)</f>
        <v>0</v>
      </c>
      <c r="AD54" s="83">
        <f>IF(AQ54="7",BH54,0)</f>
        <v>0</v>
      </c>
      <c r="AE54" s="83">
        <f>IF(AQ54="7",BI54,0)</f>
        <v>0</v>
      </c>
      <c r="AF54" s="83">
        <f>IF(AQ54="2",BH54,0)</f>
        <v>0</v>
      </c>
      <c r="AG54" s="83">
        <f>IF(AQ54="2",BI54,0)</f>
        <v>0</v>
      </c>
      <c r="AH54" s="83">
        <f>IF(AQ54="0",BJ54,0)</f>
        <v>0</v>
      </c>
      <c r="AI54" s="72" t="s">
        <v>49</v>
      </c>
      <c r="AJ54" s="83">
        <f>IF(AN54=0,M54,0)</f>
        <v>0</v>
      </c>
      <c r="AK54" s="83">
        <f>IF(AN54=15,M54,0)</f>
        <v>0</v>
      </c>
      <c r="AL54" s="83">
        <f>IF(AN54=21,M54,0)</f>
        <v>0</v>
      </c>
      <c r="AN54" s="83">
        <v>21</v>
      </c>
      <c r="AO54" s="83">
        <f>L54*0</f>
        <v>0</v>
      </c>
      <c r="AP54" s="83">
        <f>L54*(1-0)</f>
        <v>0</v>
      </c>
      <c r="AQ54" s="85" t="s">
        <v>52</v>
      </c>
      <c r="AV54" s="83">
        <f>AW54+AX54</f>
        <v>0</v>
      </c>
      <c r="AW54" s="83">
        <f>K54*AO54</f>
        <v>0</v>
      </c>
      <c r="AX54" s="83">
        <f>K54*AP54</f>
        <v>0</v>
      </c>
      <c r="AY54" s="85" t="s">
        <v>56</v>
      </c>
      <c r="AZ54" s="85" t="s">
        <v>57</v>
      </c>
      <c r="BA54" s="72" t="s">
        <v>58</v>
      </c>
      <c r="BC54" s="83">
        <f>AW54+AX54</f>
        <v>0</v>
      </c>
      <c r="BD54" s="83">
        <f>L54/(100-BE54)*100</f>
        <v>0</v>
      </c>
      <c r="BE54" s="83">
        <v>0</v>
      </c>
      <c r="BF54" s="83">
        <f>54</f>
        <v>54</v>
      </c>
      <c r="BH54" s="83">
        <f>K54*AO54</f>
        <v>0</v>
      </c>
      <c r="BI54" s="83">
        <f>K54*AP54</f>
        <v>0</v>
      </c>
      <c r="BJ54" s="83">
        <f>K54*L54</f>
        <v>0</v>
      </c>
      <c r="BK54" s="83"/>
      <c r="BL54" s="83">
        <v>11</v>
      </c>
    </row>
    <row r="55" spans="1:13" ht="15" customHeight="1">
      <c r="A55" s="86"/>
      <c r="C55" s="87" t="s">
        <v>881</v>
      </c>
      <c r="I55" s="87" t="s">
        <v>1097</v>
      </c>
      <c r="K55" s="88">
        <v>156</v>
      </c>
      <c r="M55" s="89"/>
    </row>
    <row r="56" spans="1:64" ht="15" customHeight="1">
      <c r="A56" s="65" t="s">
        <v>132</v>
      </c>
      <c r="B56" s="66" t="s">
        <v>1098</v>
      </c>
      <c r="C56" s="150" t="s">
        <v>1099</v>
      </c>
      <c r="D56" s="150"/>
      <c r="E56" s="150"/>
      <c r="F56" s="150"/>
      <c r="G56" s="150"/>
      <c r="H56" s="150"/>
      <c r="I56" s="150"/>
      <c r="J56" s="66" t="s">
        <v>191</v>
      </c>
      <c r="K56" s="83">
        <v>2.5</v>
      </c>
      <c r="L56" s="108"/>
      <c r="M56" s="84">
        <f>K56*L56</f>
        <v>0</v>
      </c>
      <c r="Z56" s="83">
        <f>IF(AQ56="5",BJ56,0)</f>
        <v>0</v>
      </c>
      <c r="AB56" s="83">
        <f>IF(AQ56="1",BH56,0)</f>
        <v>0</v>
      </c>
      <c r="AC56" s="83">
        <f>IF(AQ56="1",BI56,0)</f>
        <v>0</v>
      </c>
      <c r="AD56" s="83">
        <f>IF(AQ56="7",BH56,0)</f>
        <v>0</v>
      </c>
      <c r="AE56" s="83">
        <f>IF(AQ56="7",BI56,0)</f>
        <v>0</v>
      </c>
      <c r="AF56" s="83">
        <f>IF(AQ56="2",BH56,0)</f>
        <v>0</v>
      </c>
      <c r="AG56" s="83">
        <f>IF(AQ56="2",BI56,0)</f>
        <v>0</v>
      </c>
      <c r="AH56" s="83">
        <f>IF(AQ56="0",BJ56,0)</f>
        <v>0</v>
      </c>
      <c r="AI56" s="72" t="s">
        <v>49</v>
      </c>
      <c r="AJ56" s="83">
        <f>IF(AN56=0,M56,0)</f>
        <v>0</v>
      </c>
      <c r="AK56" s="83">
        <f>IF(AN56=15,M56,0)</f>
        <v>0</v>
      </c>
      <c r="AL56" s="83">
        <f>IF(AN56=21,M56,0)</f>
        <v>0</v>
      </c>
      <c r="AN56" s="83">
        <v>21</v>
      </c>
      <c r="AO56" s="83">
        <f>L56*0</f>
        <v>0</v>
      </c>
      <c r="AP56" s="83">
        <f>L56*(1-0)</f>
        <v>0</v>
      </c>
      <c r="AQ56" s="85" t="s">
        <v>52</v>
      </c>
      <c r="AV56" s="83">
        <f>AW56+AX56</f>
        <v>0</v>
      </c>
      <c r="AW56" s="83">
        <f>K56*AO56</f>
        <v>0</v>
      </c>
      <c r="AX56" s="83">
        <f>K56*AP56</f>
        <v>0</v>
      </c>
      <c r="AY56" s="85" t="s">
        <v>56</v>
      </c>
      <c r="AZ56" s="85" t="s">
        <v>57</v>
      </c>
      <c r="BA56" s="72" t="s">
        <v>58</v>
      </c>
      <c r="BC56" s="83">
        <f>AW56+AX56</f>
        <v>0</v>
      </c>
      <c r="BD56" s="83">
        <f>L56/(100-BE56)*100</f>
        <v>0</v>
      </c>
      <c r="BE56" s="83">
        <v>0</v>
      </c>
      <c r="BF56" s="83">
        <f>56</f>
        <v>56</v>
      </c>
      <c r="BH56" s="83">
        <f>K56*AO56</f>
        <v>0</v>
      </c>
      <c r="BI56" s="83">
        <f>K56*AP56</f>
        <v>0</v>
      </c>
      <c r="BJ56" s="83">
        <f>K56*L56</f>
        <v>0</v>
      </c>
      <c r="BK56" s="83"/>
      <c r="BL56" s="83">
        <v>11</v>
      </c>
    </row>
    <row r="57" spans="1:13" ht="15" customHeight="1">
      <c r="A57" s="86"/>
      <c r="C57" s="87" t="s">
        <v>1100</v>
      </c>
      <c r="I57" s="87" t="s">
        <v>49</v>
      </c>
      <c r="K57" s="88">
        <v>2.5</v>
      </c>
      <c r="M57" s="89"/>
    </row>
    <row r="58" spans="1:13" ht="13.5" customHeight="1">
      <c r="A58" s="86"/>
      <c r="B58" s="90" t="s">
        <v>60</v>
      </c>
      <c r="C58" s="161" t="s">
        <v>1101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3"/>
    </row>
    <row r="59" spans="1:64" ht="15" customHeight="1">
      <c r="A59" s="65" t="s">
        <v>142</v>
      </c>
      <c r="B59" s="66" t="s">
        <v>124</v>
      </c>
      <c r="C59" s="150" t="s">
        <v>125</v>
      </c>
      <c r="D59" s="150"/>
      <c r="E59" s="150"/>
      <c r="F59" s="150"/>
      <c r="G59" s="150"/>
      <c r="H59" s="150"/>
      <c r="I59" s="150"/>
      <c r="J59" s="66" t="s">
        <v>79</v>
      </c>
      <c r="K59" s="83">
        <v>2.5</v>
      </c>
      <c r="L59" s="108"/>
      <c r="M59" s="84">
        <f>K59*L59</f>
        <v>0</v>
      </c>
      <c r="Z59" s="83">
        <f>IF(AQ59="5",BJ59,0)</f>
        <v>0</v>
      </c>
      <c r="AB59" s="83">
        <f>IF(AQ59="1",BH59,0)</f>
        <v>0</v>
      </c>
      <c r="AC59" s="83">
        <f>IF(AQ59="1",BI59,0)</f>
        <v>0</v>
      </c>
      <c r="AD59" s="83">
        <f>IF(AQ59="7",BH59,0)</f>
        <v>0</v>
      </c>
      <c r="AE59" s="83">
        <f>IF(AQ59="7",BI59,0)</f>
        <v>0</v>
      </c>
      <c r="AF59" s="83">
        <f>IF(AQ59="2",BH59,0)</f>
        <v>0</v>
      </c>
      <c r="AG59" s="83">
        <f>IF(AQ59="2",BI59,0)</f>
        <v>0</v>
      </c>
      <c r="AH59" s="83">
        <f>IF(AQ59="0",BJ59,0)</f>
        <v>0</v>
      </c>
      <c r="AI59" s="72" t="s">
        <v>49</v>
      </c>
      <c r="AJ59" s="83">
        <f>IF(AN59=0,M59,0)</f>
        <v>0</v>
      </c>
      <c r="AK59" s="83">
        <f>IF(AN59=15,M59,0)</f>
        <v>0</v>
      </c>
      <c r="AL59" s="83">
        <f>IF(AN59=21,M59,0)</f>
        <v>0</v>
      </c>
      <c r="AN59" s="83">
        <v>21</v>
      </c>
      <c r="AO59" s="83">
        <f>L59*0</f>
        <v>0</v>
      </c>
      <c r="AP59" s="83">
        <f>L59*(1-0)</f>
        <v>0</v>
      </c>
      <c r="AQ59" s="85" t="s">
        <v>52</v>
      </c>
      <c r="AV59" s="83">
        <f>AW59+AX59</f>
        <v>0</v>
      </c>
      <c r="AW59" s="83">
        <f>K59*AO59</f>
        <v>0</v>
      </c>
      <c r="AX59" s="83">
        <f>K59*AP59</f>
        <v>0</v>
      </c>
      <c r="AY59" s="85" t="s">
        <v>56</v>
      </c>
      <c r="AZ59" s="85" t="s">
        <v>57</v>
      </c>
      <c r="BA59" s="72" t="s">
        <v>58</v>
      </c>
      <c r="BC59" s="83">
        <f>AW59+AX59</f>
        <v>0</v>
      </c>
      <c r="BD59" s="83">
        <f>L59/(100-BE59)*100</f>
        <v>0</v>
      </c>
      <c r="BE59" s="83">
        <v>0</v>
      </c>
      <c r="BF59" s="83">
        <f>59</f>
        <v>59</v>
      </c>
      <c r="BH59" s="83">
        <f>K59*AO59</f>
        <v>0</v>
      </c>
      <c r="BI59" s="83">
        <f>K59*AP59</f>
        <v>0</v>
      </c>
      <c r="BJ59" s="83">
        <f>K59*L59</f>
        <v>0</v>
      </c>
      <c r="BK59" s="83"/>
      <c r="BL59" s="83">
        <v>11</v>
      </c>
    </row>
    <row r="60" spans="1:13" ht="15" customHeight="1">
      <c r="A60" s="86"/>
      <c r="C60" s="87" t="s">
        <v>1100</v>
      </c>
      <c r="I60" s="87" t="s">
        <v>49</v>
      </c>
      <c r="K60" s="88">
        <v>2.5</v>
      </c>
      <c r="M60" s="89"/>
    </row>
    <row r="61" spans="1:47" ht="15" customHeight="1">
      <c r="A61" s="78" t="s">
        <v>49</v>
      </c>
      <c r="B61" s="79" t="s">
        <v>123</v>
      </c>
      <c r="C61" s="168" t="s">
        <v>222</v>
      </c>
      <c r="D61" s="168"/>
      <c r="E61" s="168"/>
      <c r="F61" s="168"/>
      <c r="G61" s="168"/>
      <c r="H61" s="168"/>
      <c r="I61" s="168"/>
      <c r="J61" s="80" t="s">
        <v>3</v>
      </c>
      <c r="K61" s="80" t="s">
        <v>3</v>
      </c>
      <c r="L61" s="80" t="s">
        <v>3</v>
      </c>
      <c r="M61" s="81">
        <f>SUM(M62:M66)</f>
        <v>0</v>
      </c>
      <c r="AI61" s="72" t="s">
        <v>49</v>
      </c>
      <c r="AS61" s="82">
        <f>SUM(AJ62:AJ66)</f>
        <v>0</v>
      </c>
      <c r="AT61" s="82">
        <f>SUM(AK62:AK66)</f>
        <v>0</v>
      </c>
      <c r="AU61" s="82">
        <f>SUM(AL62:AL66)</f>
        <v>0</v>
      </c>
    </row>
    <row r="62" spans="1:64" ht="15" customHeight="1">
      <c r="A62" s="65" t="s">
        <v>146</v>
      </c>
      <c r="B62" s="66" t="s">
        <v>224</v>
      </c>
      <c r="C62" s="150" t="s">
        <v>225</v>
      </c>
      <c r="D62" s="150"/>
      <c r="E62" s="150"/>
      <c r="F62" s="150"/>
      <c r="G62" s="150"/>
      <c r="H62" s="150"/>
      <c r="I62" s="150"/>
      <c r="J62" s="66" t="s">
        <v>226</v>
      </c>
      <c r="K62" s="83">
        <v>132.335</v>
      </c>
      <c r="L62" s="108"/>
      <c r="M62" s="84">
        <f>K62*L62</f>
        <v>0</v>
      </c>
      <c r="Z62" s="83">
        <f>IF(AQ62="5",BJ62,0)</f>
        <v>0</v>
      </c>
      <c r="AB62" s="83">
        <f>IF(AQ62="1",BH62,0)</f>
        <v>0</v>
      </c>
      <c r="AC62" s="83">
        <f>IF(AQ62="1",BI62,0)</f>
        <v>0</v>
      </c>
      <c r="AD62" s="83">
        <f>IF(AQ62="7",BH62,0)</f>
        <v>0</v>
      </c>
      <c r="AE62" s="83">
        <f>IF(AQ62="7",BI62,0)</f>
        <v>0</v>
      </c>
      <c r="AF62" s="83">
        <f>IF(AQ62="2",BH62,0)</f>
        <v>0</v>
      </c>
      <c r="AG62" s="83">
        <f>IF(AQ62="2",BI62,0)</f>
        <v>0</v>
      </c>
      <c r="AH62" s="83">
        <f>IF(AQ62="0",BJ62,0)</f>
        <v>0</v>
      </c>
      <c r="AI62" s="72" t="s">
        <v>49</v>
      </c>
      <c r="AJ62" s="83">
        <f>IF(AN62=0,M62,0)</f>
        <v>0</v>
      </c>
      <c r="AK62" s="83">
        <f>IF(AN62=15,M62,0)</f>
        <v>0</v>
      </c>
      <c r="AL62" s="83">
        <f>IF(AN62=21,M62,0)</f>
        <v>0</v>
      </c>
      <c r="AN62" s="83">
        <v>21</v>
      </c>
      <c r="AO62" s="83">
        <f>L62*0</f>
        <v>0</v>
      </c>
      <c r="AP62" s="83">
        <f>L62*(1-0)</f>
        <v>0</v>
      </c>
      <c r="AQ62" s="85" t="s">
        <v>52</v>
      </c>
      <c r="AV62" s="83">
        <f>AW62+AX62</f>
        <v>0</v>
      </c>
      <c r="AW62" s="83">
        <f>K62*AO62</f>
        <v>0</v>
      </c>
      <c r="AX62" s="83">
        <f>K62*AP62</f>
        <v>0</v>
      </c>
      <c r="AY62" s="85" t="s">
        <v>227</v>
      </c>
      <c r="AZ62" s="85" t="s">
        <v>57</v>
      </c>
      <c r="BA62" s="72" t="s">
        <v>58</v>
      </c>
      <c r="BC62" s="83">
        <f>AW62+AX62</f>
        <v>0</v>
      </c>
      <c r="BD62" s="83">
        <f>L62/(100-BE62)*100</f>
        <v>0</v>
      </c>
      <c r="BE62" s="83">
        <v>0</v>
      </c>
      <c r="BF62" s="83">
        <f>62</f>
        <v>62</v>
      </c>
      <c r="BH62" s="83">
        <f>K62*AO62</f>
        <v>0</v>
      </c>
      <c r="BI62" s="83">
        <f>K62*AP62</f>
        <v>0</v>
      </c>
      <c r="BJ62" s="83">
        <f>K62*L62</f>
        <v>0</v>
      </c>
      <c r="BK62" s="83"/>
      <c r="BL62" s="83">
        <v>12</v>
      </c>
    </row>
    <row r="63" spans="1:13" ht="15" customHeight="1">
      <c r="A63" s="86"/>
      <c r="C63" s="87" t="s">
        <v>1102</v>
      </c>
      <c r="I63" s="87" t="s">
        <v>229</v>
      </c>
      <c r="K63" s="88">
        <v>69.30000000000001</v>
      </c>
      <c r="M63" s="89"/>
    </row>
    <row r="64" spans="1:13" ht="15" customHeight="1">
      <c r="A64" s="86"/>
      <c r="C64" s="87" t="s">
        <v>1103</v>
      </c>
      <c r="I64" s="87" t="s">
        <v>231</v>
      </c>
      <c r="K64" s="88">
        <v>29.225</v>
      </c>
      <c r="M64" s="89"/>
    </row>
    <row r="65" spans="1:13" ht="15" customHeight="1">
      <c r="A65" s="86"/>
      <c r="C65" s="87" t="s">
        <v>1104</v>
      </c>
      <c r="I65" s="87" t="s">
        <v>233</v>
      </c>
      <c r="K65" s="88">
        <v>33.81</v>
      </c>
      <c r="M65" s="89"/>
    </row>
    <row r="66" spans="1:64" ht="15" customHeight="1">
      <c r="A66" s="65" t="s">
        <v>151</v>
      </c>
      <c r="B66" s="66" t="s">
        <v>1105</v>
      </c>
      <c r="C66" s="150" t="s">
        <v>1106</v>
      </c>
      <c r="D66" s="150"/>
      <c r="E66" s="150"/>
      <c r="F66" s="150"/>
      <c r="G66" s="150"/>
      <c r="H66" s="150"/>
      <c r="I66" s="150"/>
      <c r="J66" s="66" t="s">
        <v>226</v>
      </c>
      <c r="K66" s="83">
        <v>48.015</v>
      </c>
      <c r="L66" s="108"/>
      <c r="M66" s="84">
        <f>K66*L66</f>
        <v>0</v>
      </c>
      <c r="Z66" s="83">
        <f>IF(AQ66="5",BJ66,0)</f>
        <v>0</v>
      </c>
      <c r="AB66" s="83">
        <f>IF(AQ66="1",BH66,0)</f>
        <v>0</v>
      </c>
      <c r="AC66" s="83">
        <f>IF(AQ66="1",BI66,0)</f>
        <v>0</v>
      </c>
      <c r="AD66" s="83">
        <f>IF(AQ66="7",BH66,0)</f>
        <v>0</v>
      </c>
      <c r="AE66" s="83">
        <f>IF(AQ66="7",BI66,0)</f>
        <v>0</v>
      </c>
      <c r="AF66" s="83">
        <f>IF(AQ66="2",BH66,0)</f>
        <v>0</v>
      </c>
      <c r="AG66" s="83">
        <f>IF(AQ66="2",BI66,0)</f>
        <v>0</v>
      </c>
      <c r="AH66" s="83">
        <f>IF(AQ66="0",BJ66,0)</f>
        <v>0</v>
      </c>
      <c r="AI66" s="72" t="s">
        <v>49</v>
      </c>
      <c r="AJ66" s="83">
        <f>IF(AN66=0,M66,0)</f>
        <v>0</v>
      </c>
      <c r="AK66" s="83">
        <f>IF(AN66=15,M66,0)</f>
        <v>0</v>
      </c>
      <c r="AL66" s="83">
        <f>IF(AN66=21,M66,0)</f>
        <v>0</v>
      </c>
      <c r="AN66" s="83">
        <v>21</v>
      </c>
      <c r="AO66" s="83">
        <f>L66*0</f>
        <v>0</v>
      </c>
      <c r="AP66" s="83">
        <f>L66*(1-0)</f>
        <v>0</v>
      </c>
      <c r="AQ66" s="85" t="s">
        <v>52</v>
      </c>
      <c r="AV66" s="83">
        <f>AW66+AX66</f>
        <v>0</v>
      </c>
      <c r="AW66" s="83">
        <f>K66*AO66</f>
        <v>0</v>
      </c>
      <c r="AX66" s="83">
        <f>K66*AP66</f>
        <v>0</v>
      </c>
      <c r="AY66" s="85" t="s">
        <v>227</v>
      </c>
      <c r="AZ66" s="85" t="s">
        <v>57</v>
      </c>
      <c r="BA66" s="72" t="s">
        <v>58</v>
      </c>
      <c r="BC66" s="83">
        <f>AW66+AX66</f>
        <v>0</v>
      </c>
      <c r="BD66" s="83">
        <f>L66/(100-BE66)*100</f>
        <v>0</v>
      </c>
      <c r="BE66" s="83">
        <v>0</v>
      </c>
      <c r="BF66" s="83">
        <f>66</f>
        <v>66</v>
      </c>
      <c r="BH66" s="83">
        <f>K66*AO66</f>
        <v>0</v>
      </c>
      <c r="BI66" s="83">
        <f>K66*AP66</f>
        <v>0</v>
      </c>
      <c r="BJ66" s="83">
        <f>K66*L66</f>
        <v>0</v>
      </c>
      <c r="BK66" s="83"/>
      <c r="BL66" s="83">
        <v>12</v>
      </c>
    </row>
    <row r="67" spans="1:13" ht="15" customHeight="1">
      <c r="A67" s="86"/>
      <c r="C67" s="87" t="s">
        <v>1107</v>
      </c>
      <c r="I67" s="87" t="s">
        <v>238</v>
      </c>
      <c r="K67" s="88">
        <v>21</v>
      </c>
      <c r="M67" s="89"/>
    </row>
    <row r="68" spans="1:13" ht="15" customHeight="1">
      <c r="A68" s="86"/>
      <c r="C68" s="87" t="s">
        <v>1108</v>
      </c>
      <c r="I68" s="87" t="s">
        <v>231</v>
      </c>
      <c r="K68" s="88">
        <v>12.525</v>
      </c>
      <c r="M68" s="89"/>
    </row>
    <row r="69" spans="1:13" ht="15" customHeight="1">
      <c r="A69" s="86"/>
      <c r="C69" s="87" t="s">
        <v>1109</v>
      </c>
      <c r="I69" s="87" t="s">
        <v>233</v>
      </c>
      <c r="K69" s="88">
        <v>14.490000000000002</v>
      </c>
      <c r="M69" s="89"/>
    </row>
    <row r="70" spans="1:47" ht="15" customHeight="1">
      <c r="A70" s="78" t="s">
        <v>49</v>
      </c>
      <c r="B70" s="79" t="s">
        <v>132</v>
      </c>
      <c r="C70" s="168" t="s">
        <v>241</v>
      </c>
      <c r="D70" s="168"/>
      <c r="E70" s="168"/>
      <c r="F70" s="168"/>
      <c r="G70" s="168"/>
      <c r="H70" s="168"/>
      <c r="I70" s="168"/>
      <c r="J70" s="80" t="s">
        <v>3</v>
      </c>
      <c r="K70" s="80" t="s">
        <v>3</v>
      </c>
      <c r="L70" s="80" t="s">
        <v>3</v>
      </c>
      <c r="M70" s="81">
        <f>SUM(M71:M82)</f>
        <v>0</v>
      </c>
      <c r="AI70" s="72" t="s">
        <v>49</v>
      </c>
      <c r="AS70" s="82">
        <f>SUM(AJ71:AJ82)</f>
        <v>0</v>
      </c>
      <c r="AT70" s="82">
        <f>SUM(AK71:AK82)</f>
        <v>0</v>
      </c>
      <c r="AU70" s="82">
        <f>SUM(AL71:AL82)</f>
        <v>0</v>
      </c>
    </row>
    <row r="71" spans="1:64" ht="15" customHeight="1">
      <c r="A71" s="65" t="s">
        <v>156</v>
      </c>
      <c r="B71" s="66" t="s">
        <v>243</v>
      </c>
      <c r="C71" s="150" t="s">
        <v>244</v>
      </c>
      <c r="D71" s="150"/>
      <c r="E71" s="150"/>
      <c r="F71" s="150"/>
      <c r="G71" s="150"/>
      <c r="H71" s="150"/>
      <c r="I71" s="150"/>
      <c r="J71" s="66" t="s">
        <v>226</v>
      </c>
      <c r="K71" s="83">
        <v>4.9</v>
      </c>
      <c r="L71" s="108"/>
      <c r="M71" s="84">
        <f>K71*L71</f>
        <v>0</v>
      </c>
      <c r="Z71" s="83">
        <f>IF(AQ71="5",BJ71,0)</f>
        <v>0</v>
      </c>
      <c r="AB71" s="83">
        <f>IF(AQ71="1",BH71,0)</f>
        <v>0</v>
      </c>
      <c r="AC71" s="83">
        <f>IF(AQ71="1",BI71,0)</f>
        <v>0</v>
      </c>
      <c r="AD71" s="83">
        <f>IF(AQ71="7",BH71,0)</f>
        <v>0</v>
      </c>
      <c r="AE71" s="83">
        <f>IF(AQ71="7",BI71,0)</f>
        <v>0</v>
      </c>
      <c r="AF71" s="83">
        <f>IF(AQ71="2",BH71,0)</f>
        <v>0</v>
      </c>
      <c r="AG71" s="83">
        <f>IF(AQ71="2",BI71,0)</f>
        <v>0</v>
      </c>
      <c r="AH71" s="83">
        <f>IF(AQ71="0",BJ71,0)</f>
        <v>0</v>
      </c>
      <c r="AI71" s="72" t="s">
        <v>49</v>
      </c>
      <c r="AJ71" s="83">
        <f>IF(AN71=0,M71,0)</f>
        <v>0</v>
      </c>
      <c r="AK71" s="83">
        <f>IF(AN71=15,M71,0)</f>
        <v>0</v>
      </c>
      <c r="AL71" s="83">
        <f>IF(AN71=21,M71,0)</f>
        <v>0</v>
      </c>
      <c r="AN71" s="83">
        <v>21</v>
      </c>
      <c r="AO71" s="83">
        <f>L71*0</f>
        <v>0</v>
      </c>
      <c r="AP71" s="83">
        <f>L71*(1-0)</f>
        <v>0</v>
      </c>
      <c r="AQ71" s="85" t="s">
        <v>52</v>
      </c>
      <c r="AV71" s="83">
        <f>AW71+AX71</f>
        <v>0</v>
      </c>
      <c r="AW71" s="83">
        <f>K71*AO71</f>
        <v>0</v>
      </c>
      <c r="AX71" s="83">
        <f>K71*AP71</f>
        <v>0</v>
      </c>
      <c r="AY71" s="85" t="s">
        <v>245</v>
      </c>
      <c r="AZ71" s="85" t="s">
        <v>57</v>
      </c>
      <c r="BA71" s="72" t="s">
        <v>58</v>
      </c>
      <c r="BC71" s="83">
        <f>AW71+AX71</f>
        <v>0</v>
      </c>
      <c r="BD71" s="83">
        <f>L71/(100-BE71)*100</f>
        <v>0</v>
      </c>
      <c r="BE71" s="83">
        <v>0</v>
      </c>
      <c r="BF71" s="83">
        <f>71</f>
        <v>71</v>
      </c>
      <c r="BH71" s="83">
        <f>K71*AO71</f>
        <v>0</v>
      </c>
      <c r="BI71" s="83">
        <f>K71*AP71</f>
        <v>0</v>
      </c>
      <c r="BJ71" s="83">
        <f>K71*L71</f>
        <v>0</v>
      </c>
      <c r="BK71" s="83"/>
      <c r="BL71" s="83">
        <v>13</v>
      </c>
    </row>
    <row r="72" spans="1:13" ht="15" customHeight="1">
      <c r="A72" s="86"/>
      <c r="C72" s="87" t="s">
        <v>1110</v>
      </c>
      <c r="I72" s="87" t="s">
        <v>247</v>
      </c>
      <c r="K72" s="88">
        <v>4.9</v>
      </c>
      <c r="M72" s="89"/>
    </row>
    <row r="73" spans="1:13" ht="67.5" customHeight="1">
      <c r="A73" s="86"/>
      <c r="B73" s="90" t="s">
        <v>60</v>
      </c>
      <c r="C73" s="161" t="s">
        <v>250</v>
      </c>
      <c r="D73" s="162"/>
      <c r="E73" s="162"/>
      <c r="F73" s="162"/>
      <c r="G73" s="162"/>
      <c r="H73" s="162"/>
      <c r="I73" s="162"/>
      <c r="J73" s="162"/>
      <c r="K73" s="162"/>
      <c r="L73" s="162"/>
      <c r="M73" s="163"/>
    </row>
    <row r="74" spans="1:64" ht="15" customHeight="1">
      <c r="A74" s="65" t="s">
        <v>161</v>
      </c>
      <c r="B74" s="66" t="s">
        <v>252</v>
      </c>
      <c r="C74" s="150" t="s">
        <v>253</v>
      </c>
      <c r="D74" s="150"/>
      <c r="E74" s="150"/>
      <c r="F74" s="150"/>
      <c r="G74" s="150"/>
      <c r="H74" s="150"/>
      <c r="I74" s="150"/>
      <c r="J74" s="66" t="s">
        <v>226</v>
      </c>
      <c r="K74" s="83">
        <v>2.1</v>
      </c>
      <c r="L74" s="108"/>
      <c r="M74" s="84">
        <f>K74*L74</f>
        <v>0</v>
      </c>
      <c r="Z74" s="83">
        <f>IF(AQ74="5",BJ74,0)</f>
        <v>0</v>
      </c>
      <c r="AB74" s="83">
        <f>IF(AQ74="1",BH74,0)</f>
        <v>0</v>
      </c>
      <c r="AC74" s="83">
        <f>IF(AQ74="1",BI74,0)</f>
        <v>0</v>
      </c>
      <c r="AD74" s="83">
        <f>IF(AQ74="7",BH74,0)</f>
        <v>0</v>
      </c>
      <c r="AE74" s="83">
        <f>IF(AQ74="7",BI74,0)</f>
        <v>0</v>
      </c>
      <c r="AF74" s="83">
        <f>IF(AQ74="2",BH74,0)</f>
        <v>0</v>
      </c>
      <c r="AG74" s="83">
        <f>IF(AQ74="2",BI74,0)</f>
        <v>0</v>
      </c>
      <c r="AH74" s="83">
        <f>IF(AQ74="0",BJ74,0)</f>
        <v>0</v>
      </c>
      <c r="AI74" s="72" t="s">
        <v>49</v>
      </c>
      <c r="AJ74" s="83">
        <f>IF(AN74=0,M74,0)</f>
        <v>0</v>
      </c>
      <c r="AK74" s="83">
        <f>IF(AN74=15,M74,0)</f>
        <v>0</v>
      </c>
      <c r="AL74" s="83">
        <f>IF(AN74=21,M74,0)</f>
        <v>0</v>
      </c>
      <c r="AN74" s="83">
        <v>21</v>
      </c>
      <c r="AO74" s="83">
        <f>L74*0</f>
        <v>0</v>
      </c>
      <c r="AP74" s="83">
        <f>L74*(1-0)</f>
        <v>0</v>
      </c>
      <c r="AQ74" s="85" t="s">
        <v>52</v>
      </c>
      <c r="AV74" s="83">
        <f>AW74+AX74</f>
        <v>0</v>
      </c>
      <c r="AW74" s="83">
        <f>K74*AO74</f>
        <v>0</v>
      </c>
      <c r="AX74" s="83">
        <f>K74*AP74</f>
        <v>0</v>
      </c>
      <c r="AY74" s="85" t="s">
        <v>245</v>
      </c>
      <c r="AZ74" s="85" t="s">
        <v>57</v>
      </c>
      <c r="BA74" s="72" t="s">
        <v>58</v>
      </c>
      <c r="BC74" s="83">
        <f>AW74+AX74</f>
        <v>0</v>
      </c>
      <c r="BD74" s="83">
        <f>L74/(100-BE74)*100</f>
        <v>0</v>
      </c>
      <c r="BE74" s="83">
        <v>0</v>
      </c>
      <c r="BF74" s="83">
        <f>74</f>
        <v>74</v>
      </c>
      <c r="BH74" s="83">
        <f>K74*AO74</f>
        <v>0</v>
      </c>
      <c r="BI74" s="83">
        <f>K74*AP74</f>
        <v>0</v>
      </c>
      <c r="BJ74" s="83">
        <f>K74*L74</f>
        <v>0</v>
      </c>
      <c r="BK74" s="83"/>
      <c r="BL74" s="83">
        <v>13</v>
      </c>
    </row>
    <row r="75" spans="1:13" ht="15" customHeight="1">
      <c r="A75" s="86"/>
      <c r="C75" s="87" t="s">
        <v>1111</v>
      </c>
      <c r="I75" s="87" t="s">
        <v>247</v>
      </c>
      <c r="K75" s="88">
        <v>2.1</v>
      </c>
      <c r="M75" s="89"/>
    </row>
    <row r="76" spans="1:13" ht="67.5" customHeight="1">
      <c r="A76" s="86"/>
      <c r="B76" s="90" t="s">
        <v>60</v>
      </c>
      <c r="C76" s="161" t="s">
        <v>250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3"/>
    </row>
    <row r="77" spans="1:64" ht="15" customHeight="1">
      <c r="A77" s="65" t="s">
        <v>166</v>
      </c>
      <c r="B77" s="66" t="s">
        <v>257</v>
      </c>
      <c r="C77" s="150" t="s">
        <v>258</v>
      </c>
      <c r="D77" s="150"/>
      <c r="E77" s="150"/>
      <c r="F77" s="150"/>
      <c r="G77" s="150"/>
      <c r="H77" s="150"/>
      <c r="I77" s="150"/>
      <c r="J77" s="66" t="s">
        <v>226</v>
      </c>
      <c r="K77" s="83">
        <v>18.2</v>
      </c>
      <c r="L77" s="108"/>
      <c r="M77" s="84">
        <f>K77*L77</f>
        <v>0</v>
      </c>
      <c r="Z77" s="83">
        <f>IF(AQ77="5",BJ77,0)</f>
        <v>0</v>
      </c>
      <c r="AB77" s="83">
        <f>IF(AQ77="1",BH77,0)</f>
        <v>0</v>
      </c>
      <c r="AC77" s="83">
        <f>IF(AQ77="1",BI77,0)</f>
        <v>0</v>
      </c>
      <c r="AD77" s="83">
        <f>IF(AQ77="7",BH77,0)</f>
        <v>0</v>
      </c>
      <c r="AE77" s="83">
        <f>IF(AQ77="7",BI77,0)</f>
        <v>0</v>
      </c>
      <c r="AF77" s="83">
        <f>IF(AQ77="2",BH77,0)</f>
        <v>0</v>
      </c>
      <c r="AG77" s="83">
        <f>IF(AQ77="2",BI77,0)</f>
        <v>0</v>
      </c>
      <c r="AH77" s="83">
        <f>IF(AQ77="0",BJ77,0)</f>
        <v>0</v>
      </c>
      <c r="AI77" s="72" t="s">
        <v>49</v>
      </c>
      <c r="AJ77" s="83">
        <f>IF(AN77=0,M77,0)</f>
        <v>0</v>
      </c>
      <c r="AK77" s="83">
        <f>IF(AN77=15,M77,0)</f>
        <v>0</v>
      </c>
      <c r="AL77" s="83">
        <f>IF(AN77=21,M77,0)</f>
        <v>0</v>
      </c>
      <c r="AN77" s="83">
        <v>21</v>
      </c>
      <c r="AO77" s="83">
        <f>L77*0</f>
        <v>0</v>
      </c>
      <c r="AP77" s="83">
        <f>L77*(1-0)</f>
        <v>0</v>
      </c>
      <c r="AQ77" s="85" t="s">
        <v>52</v>
      </c>
      <c r="AV77" s="83">
        <f>AW77+AX77</f>
        <v>0</v>
      </c>
      <c r="AW77" s="83">
        <f>K77*AO77</f>
        <v>0</v>
      </c>
      <c r="AX77" s="83">
        <f>K77*AP77</f>
        <v>0</v>
      </c>
      <c r="AY77" s="85" t="s">
        <v>245</v>
      </c>
      <c r="AZ77" s="85" t="s">
        <v>57</v>
      </c>
      <c r="BA77" s="72" t="s">
        <v>58</v>
      </c>
      <c r="BC77" s="83">
        <f>AW77+AX77</f>
        <v>0</v>
      </c>
      <c r="BD77" s="83">
        <f>L77/(100-BE77)*100</f>
        <v>0</v>
      </c>
      <c r="BE77" s="83">
        <v>0</v>
      </c>
      <c r="BF77" s="83">
        <f>77</f>
        <v>77</v>
      </c>
      <c r="BH77" s="83">
        <f>K77*AO77</f>
        <v>0</v>
      </c>
      <c r="BI77" s="83">
        <f>K77*AP77</f>
        <v>0</v>
      </c>
      <c r="BJ77" s="83">
        <f>K77*L77</f>
        <v>0</v>
      </c>
      <c r="BK77" s="83"/>
      <c r="BL77" s="83">
        <v>13</v>
      </c>
    </row>
    <row r="78" spans="1:13" ht="15" customHeight="1">
      <c r="A78" s="86"/>
      <c r="C78" s="87" t="s">
        <v>1112</v>
      </c>
      <c r="I78" s="87" t="s">
        <v>259</v>
      </c>
      <c r="K78" s="88">
        <v>4.2</v>
      </c>
      <c r="M78" s="89"/>
    </row>
    <row r="79" spans="1:13" ht="15" customHeight="1">
      <c r="A79" s="86"/>
      <c r="C79" s="87" t="s">
        <v>1113</v>
      </c>
      <c r="I79" s="87" t="s">
        <v>261</v>
      </c>
      <c r="K79" s="88">
        <v>8.4</v>
      </c>
      <c r="M79" s="89"/>
    </row>
    <row r="80" spans="1:13" ht="15" customHeight="1">
      <c r="A80" s="86"/>
      <c r="C80" s="87" t="s">
        <v>1114</v>
      </c>
      <c r="I80" s="87" t="s">
        <v>1115</v>
      </c>
      <c r="K80" s="88">
        <v>5.6000000000000005</v>
      </c>
      <c r="M80" s="89"/>
    </row>
    <row r="81" spans="1:13" ht="67.5" customHeight="1">
      <c r="A81" s="86"/>
      <c r="B81" s="90" t="s">
        <v>60</v>
      </c>
      <c r="C81" s="161" t="s">
        <v>264</v>
      </c>
      <c r="D81" s="162"/>
      <c r="E81" s="162"/>
      <c r="F81" s="162"/>
      <c r="G81" s="162"/>
      <c r="H81" s="162"/>
      <c r="I81" s="162"/>
      <c r="J81" s="162"/>
      <c r="K81" s="162"/>
      <c r="L81" s="162"/>
      <c r="M81" s="163"/>
    </row>
    <row r="82" spans="1:64" ht="15" customHeight="1">
      <c r="A82" s="65" t="s">
        <v>176</v>
      </c>
      <c r="B82" s="66" t="s">
        <v>252</v>
      </c>
      <c r="C82" s="150" t="s">
        <v>253</v>
      </c>
      <c r="D82" s="150"/>
      <c r="E82" s="150"/>
      <c r="F82" s="150"/>
      <c r="G82" s="150"/>
      <c r="H82" s="150"/>
      <c r="I82" s="150"/>
      <c r="J82" s="66" t="s">
        <v>226</v>
      </c>
      <c r="K82" s="83">
        <v>7.8</v>
      </c>
      <c r="L82" s="108"/>
      <c r="M82" s="84">
        <f>K82*L82</f>
        <v>0</v>
      </c>
      <c r="Z82" s="83">
        <f>IF(AQ82="5",BJ82,0)</f>
        <v>0</v>
      </c>
      <c r="AB82" s="83">
        <f>IF(AQ82="1",BH82,0)</f>
        <v>0</v>
      </c>
      <c r="AC82" s="83">
        <f>IF(AQ82="1",BI82,0)</f>
        <v>0</v>
      </c>
      <c r="AD82" s="83">
        <f>IF(AQ82="7",BH82,0)</f>
        <v>0</v>
      </c>
      <c r="AE82" s="83">
        <f>IF(AQ82="7",BI82,0)</f>
        <v>0</v>
      </c>
      <c r="AF82" s="83">
        <f>IF(AQ82="2",BH82,0)</f>
        <v>0</v>
      </c>
      <c r="AG82" s="83">
        <f>IF(AQ82="2",BI82,0)</f>
        <v>0</v>
      </c>
      <c r="AH82" s="83">
        <f>IF(AQ82="0",BJ82,0)</f>
        <v>0</v>
      </c>
      <c r="AI82" s="72" t="s">
        <v>49</v>
      </c>
      <c r="AJ82" s="83">
        <f>IF(AN82=0,M82,0)</f>
        <v>0</v>
      </c>
      <c r="AK82" s="83">
        <f>IF(AN82=15,M82,0)</f>
        <v>0</v>
      </c>
      <c r="AL82" s="83">
        <f>IF(AN82=21,M82,0)</f>
        <v>0</v>
      </c>
      <c r="AN82" s="83">
        <v>21</v>
      </c>
      <c r="AO82" s="83">
        <f>L82*0</f>
        <v>0</v>
      </c>
      <c r="AP82" s="83">
        <f>L82*(1-0)</f>
        <v>0</v>
      </c>
      <c r="AQ82" s="85" t="s">
        <v>52</v>
      </c>
      <c r="AV82" s="83">
        <f>AW82+AX82</f>
        <v>0</v>
      </c>
      <c r="AW82" s="83">
        <f>K82*AO82</f>
        <v>0</v>
      </c>
      <c r="AX82" s="83">
        <f>K82*AP82</f>
        <v>0</v>
      </c>
      <c r="AY82" s="85" t="s">
        <v>245</v>
      </c>
      <c r="AZ82" s="85" t="s">
        <v>57</v>
      </c>
      <c r="BA82" s="72" t="s">
        <v>58</v>
      </c>
      <c r="BC82" s="83">
        <f>AW82+AX82</f>
        <v>0</v>
      </c>
      <c r="BD82" s="83">
        <f>L82/(100-BE82)*100</f>
        <v>0</v>
      </c>
      <c r="BE82" s="83">
        <v>0</v>
      </c>
      <c r="BF82" s="83">
        <f>82</f>
        <v>82</v>
      </c>
      <c r="BH82" s="83">
        <f>K82*AO82</f>
        <v>0</v>
      </c>
      <c r="BI82" s="83">
        <f>K82*AP82</f>
        <v>0</v>
      </c>
      <c r="BJ82" s="83">
        <f>K82*L82</f>
        <v>0</v>
      </c>
      <c r="BK82" s="83"/>
      <c r="BL82" s="83">
        <v>13</v>
      </c>
    </row>
    <row r="83" spans="1:13" ht="15" customHeight="1">
      <c r="A83" s="86"/>
      <c r="C83" s="87" t="s">
        <v>1116</v>
      </c>
      <c r="I83" s="87" t="s">
        <v>259</v>
      </c>
      <c r="K83" s="88">
        <v>1.8</v>
      </c>
      <c r="M83" s="89"/>
    </row>
    <row r="84" spans="1:13" ht="15" customHeight="1">
      <c r="A84" s="86"/>
      <c r="C84" s="87" t="s">
        <v>1089</v>
      </c>
      <c r="I84" s="87" t="s">
        <v>261</v>
      </c>
      <c r="K84" s="88">
        <v>3.6</v>
      </c>
      <c r="M84" s="89"/>
    </row>
    <row r="85" spans="1:13" ht="15" customHeight="1">
      <c r="A85" s="86"/>
      <c r="C85" s="87" t="s">
        <v>1117</v>
      </c>
      <c r="I85" s="87" t="s">
        <v>1115</v>
      </c>
      <c r="K85" s="88">
        <v>2.4000000000000004</v>
      </c>
      <c r="M85" s="89"/>
    </row>
    <row r="86" spans="1:13" ht="67.5" customHeight="1">
      <c r="A86" s="86"/>
      <c r="B86" s="90" t="s">
        <v>60</v>
      </c>
      <c r="C86" s="161" t="s">
        <v>250</v>
      </c>
      <c r="D86" s="162"/>
      <c r="E86" s="162"/>
      <c r="F86" s="162"/>
      <c r="G86" s="162"/>
      <c r="H86" s="162"/>
      <c r="I86" s="162"/>
      <c r="J86" s="162"/>
      <c r="K86" s="162"/>
      <c r="L86" s="162"/>
      <c r="M86" s="163"/>
    </row>
    <row r="87" spans="1:47" ht="15" customHeight="1">
      <c r="A87" s="78" t="s">
        <v>49</v>
      </c>
      <c r="B87" s="79" t="s">
        <v>151</v>
      </c>
      <c r="C87" s="168" t="s">
        <v>270</v>
      </c>
      <c r="D87" s="168"/>
      <c r="E87" s="168"/>
      <c r="F87" s="168"/>
      <c r="G87" s="168"/>
      <c r="H87" s="168"/>
      <c r="I87" s="168"/>
      <c r="J87" s="80" t="s">
        <v>3</v>
      </c>
      <c r="K87" s="80" t="s">
        <v>3</v>
      </c>
      <c r="L87" s="80" t="s">
        <v>3</v>
      </c>
      <c r="M87" s="81">
        <f>SUM(M88:M98)</f>
        <v>0</v>
      </c>
      <c r="AI87" s="72" t="s">
        <v>49</v>
      </c>
      <c r="AS87" s="82">
        <f>SUM(AJ88:AJ98)</f>
        <v>0</v>
      </c>
      <c r="AT87" s="82">
        <f>SUM(AK88:AK98)</f>
        <v>0</v>
      </c>
      <c r="AU87" s="82">
        <f>SUM(AL88:AL98)</f>
        <v>0</v>
      </c>
    </row>
    <row r="88" spans="1:64" ht="15" customHeight="1">
      <c r="A88" s="65" t="s">
        <v>183</v>
      </c>
      <c r="B88" s="66" t="s">
        <v>276</v>
      </c>
      <c r="C88" s="150" t="s">
        <v>277</v>
      </c>
      <c r="D88" s="150"/>
      <c r="E88" s="150"/>
      <c r="F88" s="150"/>
      <c r="G88" s="150"/>
      <c r="H88" s="150"/>
      <c r="I88" s="150"/>
      <c r="J88" s="66" t="s">
        <v>55</v>
      </c>
      <c r="K88" s="83">
        <v>1</v>
      </c>
      <c r="L88" s="108"/>
      <c r="M88" s="84">
        <f>K88*L88</f>
        <v>0</v>
      </c>
      <c r="Z88" s="83">
        <f>IF(AQ88="5",BJ88,0)</f>
        <v>0</v>
      </c>
      <c r="AB88" s="83">
        <f>IF(AQ88="1",BH88,0)</f>
        <v>0</v>
      </c>
      <c r="AC88" s="83">
        <f>IF(AQ88="1",BI88,0)</f>
        <v>0</v>
      </c>
      <c r="AD88" s="83">
        <f>IF(AQ88="7",BH88,0)</f>
        <v>0</v>
      </c>
      <c r="AE88" s="83">
        <f>IF(AQ88="7",BI88,0)</f>
        <v>0</v>
      </c>
      <c r="AF88" s="83">
        <f>IF(AQ88="2",BH88,0)</f>
        <v>0</v>
      </c>
      <c r="AG88" s="83">
        <f>IF(AQ88="2",BI88,0)</f>
        <v>0</v>
      </c>
      <c r="AH88" s="83">
        <f>IF(AQ88="0",BJ88,0)</f>
        <v>0</v>
      </c>
      <c r="AI88" s="72" t="s">
        <v>49</v>
      </c>
      <c r="AJ88" s="83">
        <f>IF(AN88=0,M88,0)</f>
        <v>0</v>
      </c>
      <c r="AK88" s="83">
        <f>IF(AN88=15,M88,0)</f>
        <v>0</v>
      </c>
      <c r="AL88" s="83">
        <f>IF(AN88=21,M88,0)</f>
        <v>0</v>
      </c>
      <c r="AN88" s="83">
        <v>21</v>
      </c>
      <c r="AO88" s="83">
        <f>L88*0</f>
        <v>0</v>
      </c>
      <c r="AP88" s="83">
        <f>L88*(1-0)</f>
        <v>0</v>
      </c>
      <c r="AQ88" s="85" t="s">
        <v>52</v>
      </c>
      <c r="AV88" s="83">
        <f>AW88+AX88</f>
        <v>0</v>
      </c>
      <c r="AW88" s="83">
        <f>K88*AO88</f>
        <v>0</v>
      </c>
      <c r="AX88" s="83">
        <f>K88*AP88</f>
        <v>0</v>
      </c>
      <c r="AY88" s="85" t="s">
        <v>272</v>
      </c>
      <c r="AZ88" s="85" t="s">
        <v>57</v>
      </c>
      <c r="BA88" s="72" t="s">
        <v>58</v>
      </c>
      <c r="BC88" s="83">
        <f>AW88+AX88</f>
        <v>0</v>
      </c>
      <c r="BD88" s="83">
        <f>L88/(100-BE88)*100</f>
        <v>0</v>
      </c>
      <c r="BE88" s="83">
        <v>0</v>
      </c>
      <c r="BF88" s="83">
        <f>88</f>
        <v>88</v>
      </c>
      <c r="BH88" s="83">
        <f>K88*AO88</f>
        <v>0</v>
      </c>
      <c r="BI88" s="83">
        <f>K88*AP88</f>
        <v>0</v>
      </c>
      <c r="BJ88" s="83">
        <f>K88*L88</f>
        <v>0</v>
      </c>
      <c r="BK88" s="83"/>
      <c r="BL88" s="83">
        <v>16</v>
      </c>
    </row>
    <row r="89" spans="1:13" ht="15" customHeight="1">
      <c r="A89" s="86"/>
      <c r="C89" s="87" t="s">
        <v>52</v>
      </c>
      <c r="I89" s="87" t="s">
        <v>49</v>
      </c>
      <c r="K89" s="88">
        <v>1</v>
      </c>
      <c r="M89" s="89"/>
    </row>
    <row r="90" spans="1:64" ht="15" customHeight="1">
      <c r="A90" s="65" t="s">
        <v>188</v>
      </c>
      <c r="B90" s="66" t="s">
        <v>279</v>
      </c>
      <c r="C90" s="150" t="s">
        <v>280</v>
      </c>
      <c r="D90" s="150"/>
      <c r="E90" s="150"/>
      <c r="F90" s="150"/>
      <c r="G90" s="150"/>
      <c r="H90" s="150"/>
      <c r="I90" s="150"/>
      <c r="J90" s="66" t="s">
        <v>55</v>
      </c>
      <c r="K90" s="83">
        <v>1</v>
      </c>
      <c r="L90" s="108"/>
      <c r="M90" s="84">
        <f>K90*L90</f>
        <v>0</v>
      </c>
      <c r="Z90" s="83">
        <f>IF(AQ90="5",BJ90,0)</f>
        <v>0</v>
      </c>
      <c r="AB90" s="83">
        <f>IF(AQ90="1",BH90,0)</f>
        <v>0</v>
      </c>
      <c r="AC90" s="83">
        <f>IF(AQ90="1",BI90,0)</f>
        <v>0</v>
      </c>
      <c r="AD90" s="83">
        <f>IF(AQ90="7",BH90,0)</f>
        <v>0</v>
      </c>
      <c r="AE90" s="83">
        <f>IF(AQ90="7",BI90,0)</f>
        <v>0</v>
      </c>
      <c r="AF90" s="83">
        <f>IF(AQ90="2",BH90,0)</f>
        <v>0</v>
      </c>
      <c r="AG90" s="83">
        <f>IF(AQ90="2",BI90,0)</f>
        <v>0</v>
      </c>
      <c r="AH90" s="83">
        <f>IF(AQ90="0",BJ90,0)</f>
        <v>0</v>
      </c>
      <c r="AI90" s="72" t="s">
        <v>49</v>
      </c>
      <c r="AJ90" s="83">
        <f>IF(AN90=0,M90,0)</f>
        <v>0</v>
      </c>
      <c r="AK90" s="83">
        <f>IF(AN90=15,M90,0)</f>
        <v>0</v>
      </c>
      <c r="AL90" s="83">
        <f>IF(AN90=21,M90,0)</f>
        <v>0</v>
      </c>
      <c r="AN90" s="83">
        <v>21</v>
      </c>
      <c r="AO90" s="83">
        <f>L90*0</f>
        <v>0</v>
      </c>
      <c r="AP90" s="83">
        <f>L90*(1-0)</f>
        <v>0</v>
      </c>
      <c r="AQ90" s="85" t="s">
        <v>52</v>
      </c>
      <c r="AV90" s="83">
        <f>AW90+AX90</f>
        <v>0</v>
      </c>
      <c r="AW90" s="83">
        <f>K90*AO90</f>
        <v>0</v>
      </c>
      <c r="AX90" s="83">
        <f>K90*AP90</f>
        <v>0</v>
      </c>
      <c r="AY90" s="85" t="s">
        <v>272</v>
      </c>
      <c r="AZ90" s="85" t="s">
        <v>57</v>
      </c>
      <c r="BA90" s="72" t="s">
        <v>58</v>
      </c>
      <c r="BC90" s="83">
        <f>AW90+AX90</f>
        <v>0</v>
      </c>
      <c r="BD90" s="83">
        <f>L90/(100-BE90)*100</f>
        <v>0</v>
      </c>
      <c r="BE90" s="83">
        <v>0</v>
      </c>
      <c r="BF90" s="83">
        <f>90</f>
        <v>90</v>
      </c>
      <c r="BH90" s="83">
        <f>K90*AO90</f>
        <v>0</v>
      </c>
      <c r="BI90" s="83">
        <f>K90*AP90</f>
        <v>0</v>
      </c>
      <c r="BJ90" s="83">
        <f>K90*L90</f>
        <v>0</v>
      </c>
      <c r="BK90" s="83"/>
      <c r="BL90" s="83">
        <v>16</v>
      </c>
    </row>
    <row r="91" spans="1:13" ht="15" customHeight="1">
      <c r="A91" s="86"/>
      <c r="C91" s="87" t="s">
        <v>52</v>
      </c>
      <c r="I91" s="87" t="s">
        <v>49</v>
      </c>
      <c r="K91" s="88">
        <v>1</v>
      </c>
      <c r="M91" s="89"/>
    </row>
    <row r="92" spans="1:64" ht="15" customHeight="1">
      <c r="A92" s="65" t="s">
        <v>196</v>
      </c>
      <c r="B92" s="66" t="s">
        <v>285</v>
      </c>
      <c r="C92" s="150" t="s">
        <v>286</v>
      </c>
      <c r="D92" s="150"/>
      <c r="E92" s="150"/>
      <c r="F92" s="150"/>
      <c r="G92" s="150"/>
      <c r="H92" s="150"/>
      <c r="I92" s="150"/>
      <c r="J92" s="66" t="s">
        <v>55</v>
      </c>
      <c r="K92" s="83">
        <v>2</v>
      </c>
      <c r="L92" s="108"/>
      <c r="M92" s="84">
        <f>K92*L92</f>
        <v>0</v>
      </c>
      <c r="Z92" s="83">
        <f>IF(AQ92="5",BJ92,0)</f>
        <v>0</v>
      </c>
      <c r="AB92" s="83">
        <f>IF(AQ92="1",BH92,0)</f>
        <v>0</v>
      </c>
      <c r="AC92" s="83">
        <f>IF(AQ92="1",BI92,0)</f>
        <v>0</v>
      </c>
      <c r="AD92" s="83">
        <f>IF(AQ92="7",BH92,0)</f>
        <v>0</v>
      </c>
      <c r="AE92" s="83">
        <f>IF(AQ92="7",BI92,0)</f>
        <v>0</v>
      </c>
      <c r="AF92" s="83">
        <f>IF(AQ92="2",BH92,0)</f>
        <v>0</v>
      </c>
      <c r="AG92" s="83">
        <f>IF(AQ92="2",BI92,0)</f>
        <v>0</v>
      </c>
      <c r="AH92" s="83">
        <f>IF(AQ92="0",BJ92,0)</f>
        <v>0</v>
      </c>
      <c r="AI92" s="72" t="s">
        <v>49</v>
      </c>
      <c r="AJ92" s="83">
        <f>IF(AN92=0,M92,0)</f>
        <v>0</v>
      </c>
      <c r="AK92" s="83">
        <f>IF(AN92=15,M92,0)</f>
        <v>0</v>
      </c>
      <c r="AL92" s="83">
        <f>IF(AN92=21,M92,0)</f>
        <v>0</v>
      </c>
      <c r="AN92" s="83">
        <v>21</v>
      </c>
      <c r="AO92" s="83">
        <f>L92*0</f>
        <v>0</v>
      </c>
      <c r="AP92" s="83">
        <f>L92*(1-0)</f>
        <v>0</v>
      </c>
      <c r="AQ92" s="85" t="s">
        <v>52</v>
      </c>
      <c r="AV92" s="83">
        <f>AW92+AX92</f>
        <v>0</v>
      </c>
      <c r="AW92" s="83">
        <f>K92*AO92</f>
        <v>0</v>
      </c>
      <c r="AX92" s="83">
        <f>K92*AP92</f>
        <v>0</v>
      </c>
      <c r="AY92" s="85" t="s">
        <v>272</v>
      </c>
      <c r="AZ92" s="85" t="s">
        <v>57</v>
      </c>
      <c r="BA92" s="72" t="s">
        <v>58</v>
      </c>
      <c r="BC92" s="83">
        <f>AW92+AX92</f>
        <v>0</v>
      </c>
      <c r="BD92" s="83">
        <f>L92/(100-BE92)*100</f>
        <v>0</v>
      </c>
      <c r="BE92" s="83">
        <v>0</v>
      </c>
      <c r="BF92" s="83">
        <f>92</f>
        <v>92</v>
      </c>
      <c r="BH92" s="83">
        <f>K92*AO92</f>
        <v>0</v>
      </c>
      <c r="BI92" s="83">
        <f>K92*AP92</f>
        <v>0</v>
      </c>
      <c r="BJ92" s="83">
        <f>K92*L92</f>
        <v>0</v>
      </c>
      <c r="BK92" s="83"/>
      <c r="BL92" s="83">
        <v>16</v>
      </c>
    </row>
    <row r="93" spans="1:13" ht="15" customHeight="1">
      <c r="A93" s="86"/>
      <c r="C93" s="87" t="s">
        <v>62</v>
      </c>
      <c r="I93" s="87" t="s">
        <v>49</v>
      </c>
      <c r="K93" s="88">
        <v>2</v>
      </c>
      <c r="M93" s="89"/>
    </row>
    <row r="94" spans="1:64" ht="15" customHeight="1">
      <c r="A94" s="65" t="s">
        <v>201</v>
      </c>
      <c r="B94" s="66" t="s">
        <v>291</v>
      </c>
      <c r="C94" s="150" t="s">
        <v>292</v>
      </c>
      <c r="D94" s="150"/>
      <c r="E94" s="150"/>
      <c r="F94" s="150"/>
      <c r="G94" s="150"/>
      <c r="H94" s="150"/>
      <c r="I94" s="150"/>
      <c r="J94" s="66" t="s">
        <v>293</v>
      </c>
      <c r="K94" s="83">
        <v>5</v>
      </c>
      <c r="L94" s="108"/>
      <c r="M94" s="84">
        <f>K94*L94</f>
        <v>0</v>
      </c>
      <c r="Z94" s="83">
        <f>IF(AQ94="5",BJ94,0)</f>
        <v>0</v>
      </c>
      <c r="AB94" s="83">
        <f>IF(AQ94="1",BH94,0)</f>
        <v>0</v>
      </c>
      <c r="AC94" s="83">
        <f>IF(AQ94="1",BI94,0)</f>
        <v>0</v>
      </c>
      <c r="AD94" s="83">
        <f>IF(AQ94="7",BH94,0)</f>
        <v>0</v>
      </c>
      <c r="AE94" s="83">
        <f>IF(AQ94="7",BI94,0)</f>
        <v>0</v>
      </c>
      <c r="AF94" s="83">
        <f>IF(AQ94="2",BH94,0)</f>
        <v>0</v>
      </c>
      <c r="AG94" s="83">
        <f>IF(AQ94="2",BI94,0)</f>
        <v>0</v>
      </c>
      <c r="AH94" s="83">
        <f>IF(AQ94="0",BJ94,0)</f>
        <v>0</v>
      </c>
      <c r="AI94" s="72" t="s">
        <v>49</v>
      </c>
      <c r="AJ94" s="83">
        <f>IF(AN94=0,M94,0)</f>
        <v>0</v>
      </c>
      <c r="AK94" s="83">
        <f>IF(AN94=15,M94,0)</f>
        <v>0</v>
      </c>
      <c r="AL94" s="83">
        <f>IF(AN94=21,M94,0)</f>
        <v>0</v>
      </c>
      <c r="AN94" s="83">
        <v>21</v>
      </c>
      <c r="AO94" s="83">
        <f>L94*0</f>
        <v>0</v>
      </c>
      <c r="AP94" s="83">
        <f>L94*(1-0)</f>
        <v>0</v>
      </c>
      <c r="AQ94" s="85" t="s">
        <v>52</v>
      </c>
      <c r="AV94" s="83">
        <f>AW94+AX94</f>
        <v>0</v>
      </c>
      <c r="AW94" s="83">
        <f>K94*AO94</f>
        <v>0</v>
      </c>
      <c r="AX94" s="83">
        <f>K94*AP94</f>
        <v>0</v>
      </c>
      <c r="AY94" s="85" t="s">
        <v>272</v>
      </c>
      <c r="AZ94" s="85" t="s">
        <v>57</v>
      </c>
      <c r="BA94" s="72" t="s">
        <v>58</v>
      </c>
      <c r="BC94" s="83">
        <f>AW94+AX94</f>
        <v>0</v>
      </c>
      <c r="BD94" s="83">
        <f>L94/(100-BE94)*100</f>
        <v>0</v>
      </c>
      <c r="BE94" s="83">
        <v>0</v>
      </c>
      <c r="BF94" s="83">
        <f>94</f>
        <v>94</v>
      </c>
      <c r="BH94" s="83">
        <f>K94*AO94</f>
        <v>0</v>
      </c>
      <c r="BI94" s="83">
        <f>K94*AP94</f>
        <v>0</v>
      </c>
      <c r="BJ94" s="83">
        <f>K94*L94</f>
        <v>0</v>
      </c>
      <c r="BK94" s="83"/>
      <c r="BL94" s="83">
        <v>16</v>
      </c>
    </row>
    <row r="95" spans="1:13" ht="15" customHeight="1">
      <c r="A95" s="86"/>
      <c r="C95" s="87" t="s">
        <v>73</v>
      </c>
      <c r="I95" s="87" t="s">
        <v>49</v>
      </c>
      <c r="K95" s="88">
        <v>5</v>
      </c>
      <c r="M95" s="89"/>
    </row>
    <row r="96" spans="1:64" ht="15" customHeight="1">
      <c r="A96" s="65" t="s">
        <v>204</v>
      </c>
      <c r="B96" s="66" t="s">
        <v>295</v>
      </c>
      <c r="C96" s="150" t="s">
        <v>296</v>
      </c>
      <c r="D96" s="150"/>
      <c r="E96" s="150"/>
      <c r="F96" s="150"/>
      <c r="G96" s="150"/>
      <c r="H96" s="150"/>
      <c r="I96" s="150"/>
      <c r="J96" s="66" t="s">
        <v>55</v>
      </c>
      <c r="K96" s="83">
        <v>10</v>
      </c>
      <c r="L96" s="108"/>
      <c r="M96" s="84">
        <f>K96*L96</f>
        <v>0</v>
      </c>
      <c r="Z96" s="83">
        <f>IF(AQ96="5",BJ96,0)</f>
        <v>0</v>
      </c>
      <c r="AB96" s="83">
        <f>IF(AQ96="1",BH96,0)</f>
        <v>0</v>
      </c>
      <c r="AC96" s="83">
        <f>IF(AQ96="1",BI96,0)</f>
        <v>0</v>
      </c>
      <c r="AD96" s="83">
        <f>IF(AQ96="7",BH96,0)</f>
        <v>0</v>
      </c>
      <c r="AE96" s="83">
        <f>IF(AQ96="7",BI96,0)</f>
        <v>0</v>
      </c>
      <c r="AF96" s="83">
        <f>IF(AQ96="2",BH96,0)</f>
        <v>0</v>
      </c>
      <c r="AG96" s="83">
        <f>IF(AQ96="2",BI96,0)</f>
        <v>0</v>
      </c>
      <c r="AH96" s="83">
        <f>IF(AQ96="0",BJ96,0)</f>
        <v>0</v>
      </c>
      <c r="AI96" s="72" t="s">
        <v>49</v>
      </c>
      <c r="AJ96" s="83">
        <f>IF(AN96=0,M96,0)</f>
        <v>0</v>
      </c>
      <c r="AK96" s="83">
        <f>IF(AN96=15,M96,0)</f>
        <v>0</v>
      </c>
      <c r="AL96" s="83">
        <f>IF(AN96=21,M96,0)</f>
        <v>0</v>
      </c>
      <c r="AN96" s="83">
        <v>21</v>
      </c>
      <c r="AO96" s="83">
        <f>L96*0</f>
        <v>0</v>
      </c>
      <c r="AP96" s="83">
        <f>L96*(1-0)</f>
        <v>0</v>
      </c>
      <c r="AQ96" s="85" t="s">
        <v>52</v>
      </c>
      <c r="AV96" s="83">
        <f>AW96+AX96</f>
        <v>0</v>
      </c>
      <c r="AW96" s="83">
        <f>K96*AO96</f>
        <v>0</v>
      </c>
      <c r="AX96" s="83">
        <f>K96*AP96</f>
        <v>0</v>
      </c>
      <c r="AY96" s="85" t="s">
        <v>272</v>
      </c>
      <c r="AZ96" s="85" t="s">
        <v>57</v>
      </c>
      <c r="BA96" s="72" t="s">
        <v>58</v>
      </c>
      <c r="BC96" s="83">
        <f>AW96+AX96</f>
        <v>0</v>
      </c>
      <c r="BD96" s="83">
        <f>L96/(100-BE96)*100</f>
        <v>0</v>
      </c>
      <c r="BE96" s="83">
        <v>0</v>
      </c>
      <c r="BF96" s="83">
        <f>96</f>
        <v>96</v>
      </c>
      <c r="BH96" s="83">
        <f>K96*AO96</f>
        <v>0</v>
      </c>
      <c r="BI96" s="83">
        <f>K96*AP96</f>
        <v>0</v>
      </c>
      <c r="BJ96" s="83">
        <f>K96*L96</f>
        <v>0</v>
      </c>
      <c r="BK96" s="83"/>
      <c r="BL96" s="83">
        <v>16</v>
      </c>
    </row>
    <row r="97" spans="1:13" ht="15" customHeight="1">
      <c r="A97" s="86"/>
      <c r="C97" s="87" t="s">
        <v>111</v>
      </c>
      <c r="I97" s="87" t="s">
        <v>49</v>
      </c>
      <c r="K97" s="88">
        <v>10</v>
      </c>
      <c r="M97" s="89"/>
    </row>
    <row r="98" spans="1:64" ht="15" customHeight="1">
      <c r="A98" s="65" t="s">
        <v>208</v>
      </c>
      <c r="B98" s="66" t="s">
        <v>298</v>
      </c>
      <c r="C98" s="150" t="s">
        <v>299</v>
      </c>
      <c r="D98" s="150"/>
      <c r="E98" s="150"/>
      <c r="F98" s="150"/>
      <c r="G98" s="150"/>
      <c r="H98" s="150"/>
      <c r="I98" s="150"/>
      <c r="J98" s="66" t="s">
        <v>55</v>
      </c>
      <c r="K98" s="83">
        <v>5</v>
      </c>
      <c r="L98" s="108"/>
      <c r="M98" s="84">
        <f>K98*L98</f>
        <v>0</v>
      </c>
      <c r="Z98" s="83">
        <f>IF(AQ98="5",BJ98,0)</f>
        <v>0</v>
      </c>
      <c r="AB98" s="83">
        <f>IF(AQ98="1",BH98,0)</f>
        <v>0</v>
      </c>
      <c r="AC98" s="83">
        <f>IF(AQ98="1",BI98,0)</f>
        <v>0</v>
      </c>
      <c r="AD98" s="83">
        <f>IF(AQ98="7",BH98,0)</f>
        <v>0</v>
      </c>
      <c r="AE98" s="83">
        <f>IF(AQ98="7",BI98,0)</f>
        <v>0</v>
      </c>
      <c r="AF98" s="83">
        <f>IF(AQ98="2",BH98,0)</f>
        <v>0</v>
      </c>
      <c r="AG98" s="83">
        <f>IF(AQ98="2",BI98,0)</f>
        <v>0</v>
      </c>
      <c r="AH98" s="83">
        <f>IF(AQ98="0",BJ98,0)</f>
        <v>0</v>
      </c>
      <c r="AI98" s="72" t="s">
        <v>49</v>
      </c>
      <c r="AJ98" s="83">
        <f>IF(AN98=0,M98,0)</f>
        <v>0</v>
      </c>
      <c r="AK98" s="83">
        <f>IF(AN98=15,M98,0)</f>
        <v>0</v>
      </c>
      <c r="AL98" s="83">
        <f>IF(AN98=21,M98,0)</f>
        <v>0</v>
      </c>
      <c r="AN98" s="83">
        <v>21</v>
      </c>
      <c r="AO98" s="83">
        <f>L98*0</f>
        <v>0</v>
      </c>
      <c r="AP98" s="83">
        <f>L98*(1-0)</f>
        <v>0</v>
      </c>
      <c r="AQ98" s="85" t="s">
        <v>52</v>
      </c>
      <c r="AV98" s="83">
        <f>AW98+AX98</f>
        <v>0</v>
      </c>
      <c r="AW98" s="83">
        <f>K98*AO98</f>
        <v>0</v>
      </c>
      <c r="AX98" s="83">
        <f>K98*AP98</f>
        <v>0</v>
      </c>
      <c r="AY98" s="85" t="s">
        <v>272</v>
      </c>
      <c r="AZ98" s="85" t="s">
        <v>57</v>
      </c>
      <c r="BA98" s="72" t="s">
        <v>58</v>
      </c>
      <c r="BC98" s="83">
        <f>AW98+AX98</f>
        <v>0</v>
      </c>
      <c r="BD98" s="83">
        <f>L98/(100-BE98)*100</f>
        <v>0</v>
      </c>
      <c r="BE98" s="83">
        <v>0</v>
      </c>
      <c r="BF98" s="83">
        <f>98</f>
        <v>98</v>
      </c>
      <c r="BH98" s="83">
        <f>K98*AO98</f>
        <v>0</v>
      </c>
      <c r="BI98" s="83">
        <f>K98*AP98</f>
        <v>0</v>
      </c>
      <c r="BJ98" s="83">
        <f>K98*L98</f>
        <v>0</v>
      </c>
      <c r="BK98" s="83"/>
      <c r="BL98" s="83">
        <v>16</v>
      </c>
    </row>
    <row r="99" spans="1:13" ht="15" customHeight="1">
      <c r="A99" s="86"/>
      <c r="C99" s="87" t="s">
        <v>73</v>
      </c>
      <c r="I99" s="87" t="s">
        <v>49</v>
      </c>
      <c r="K99" s="88">
        <v>5</v>
      </c>
      <c r="M99" s="89"/>
    </row>
    <row r="100" spans="1:47" ht="15" customHeight="1">
      <c r="A100" s="78" t="s">
        <v>49</v>
      </c>
      <c r="B100" s="79" t="s">
        <v>156</v>
      </c>
      <c r="C100" s="168" t="s">
        <v>301</v>
      </c>
      <c r="D100" s="168"/>
      <c r="E100" s="168"/>
      <c r="F100" s="168"/>
      <c r="G100" s="168"/>
      <c r="H100" s="168"/>
      <c r="I100" s="168"/>
      <c r="J100" s="80" t="s">
        <v>3</v>
      </c>
      <c r="K100" s="80" t="s">
        <v>3</v>
      </c>
      <c r="L100" s="80" t="s">
        <v>3</v>
      </c>
      <c r="M100" s="81">
        <f>SUM(M101:M111)</f>
        <v>0</v>
      </c>
      <c r="AI100" s="72" t="s">
        <v>49</v>
      </c>
      <c r="AS100" s="82">
        <f>SUM(AJ101:AJ111)</f>
        <v>0</v>
      </c>
      <c r="AT100" s="82">
        <f>SUM(AK101:AK111)</f>
        <v>0</v>
      </c>
      <c r="AU100" s="82">
        <f>SUM(AL101:AL111)</f>
        <v>0</v>
      </c>
    </row>
    <row r="101" spans="1:64" ht="15" customHeight="1">
      <c r="A101" s="65" t="s">
        <v>213</v>
      </c>
      <c r="B101" s="66" t="s">
        <v>303</v>
      </c>
      <c r="C101" s="150" t="s">
        <v>304</v>
      </c>
      <c r="D101" s="150"/>
      <c r="E101" s="150"/>
      <c r="F101" s="150"/>
      <c r="G101" s="150"/>
      <c r="H101" s="150"/>
      <c r="I101" s="150"/>
      <c r="J101" s="66" t="s">
        <v>226</v>
      </c>
      <c r="K101" s="83">
        <v>15</v>
      </c>
      <c r="L101" s="108"/>
      <c r="M101" s="84">
        <f>K101*L101</f>
        <v>0</v>
      </c>
      <c r="Z101" s="83">
        <f>IF(AQ101="5",BJ101,0)</f>
        <v>0</v>
      </c>
      <c r="AB101" s="83">
        <f>IF(AQ101="1",BH101,0)</f>
        <v>0</v>
      </c>
      <c r="AC101" s="83">
        <f>IF(AQ101="1",BI101,0)</f>
        <v>0</v>
      </c>
      <c r="AD101" s="83">
        <f>IF(AQ101="7",BH101,0)</f>
        <v>0</v>
      </c>
      <c r="AE101" s="83">
        <f>IF(AQ101="7",BI101,0)</f>
        <v>0</v>
      </c>
      <c r="AF101" s="83">
        <f>IF(AQ101="2",BH101,0)</f>
        <v>0</v>
      </c>
      <c r="AG101" s="83">
        <f>IF(AQ101="2",BI101,0)</f>
        <v>0</v>
      </c>
      <c r="AH101" s="83">
        <f>IF(AQ101="0",BJ101,0)</f>
        <v>0</v>
      </c>
      <c r="AI101" s="72" t="s">
        <v>49</v>
      </c>
      <c r="AJ101" s="83">
        <f>IF(AN101=0,M101,0)</f>
        <v>0</v>
      </c>
      <c r="AK101" s="83">
        <f>IF(AN101=15,M101,0)</f>
        <v>0</v>
      </c>
      <c r="AL101" s="83">
        <f>IF(AN101=21,M101,0)</f>
        <v>0</v>
      </c>
      <c r="AN101" s="83">
        <v>21</v>
      </c>
      <c r="AO101" s="83">
        <f>L101*0</f>
        <v>0</v>
      </c>
      <c r="AP101" s="83">
        <f>L101*(1-0)</f>
        <v>0</v>
      </c>
      <c r="AQ101" s="85" t="s">
        <v>52</v>
      </c>
      <c r="AV101" s="83">
        <f>AW101+AX101</f>
        <v>0</v>
      </c>
      <c r="AW101" s="83">
        <f>K101*AO101</f>
        <v>0</v>
      </c>
      <c r="AX101" s="83">
        <f>K101*AP101</f>
        <v>0</v>
      </c>
      <c r="AY101" s="85" t="s">
        <v>305</v>
      </c>
      <c r="AZ101" s="85" t="s">
        <v>57</v>
      </c>
      <c r="BA101" s="72" t="s">
        <v>58</v>
      </c>
      <c r="BC101" s="83">
        <f>AW101+AX101</f>
        <v>0</v>
      </c>
      <c r="BD101" s="83">
        <f>L101/(100-BE101)*100</f>
        <v>0</v>
      </c>
      <c r="BE101" s="83">
        <v>0</v>
      </c>
      <c r="BF101" s="83">
        <f>101</f>
        <v>101</v>
      </c>
      <c r="BH101" s="83">
        <f>K101*AO101</f>
        <v>0</v>
      </c>
      <c r="BI101" s="83">
        <f>K101*AP101</f>
        <v>0</v>
      </c>
      <c r="BJ101" s="83">
        <f>K101*L101</f>
        <v>0</v>
      </c>
      <c r="BK101" s="83"/>
      <c r="BL101" s="83">
        <v>17</v>
      </c>
    </row>
    <row r="102" spans="1:13" ht="15" customHeight="1">
      <c r="A102" s="86"/>
      <c r="C102" s="87" t="s">
        <v>146</v>
      </c>
      <c r="I102" s="87" t="s">
        <v>49</v>
      </c>
      <c r="K102" s="88">
        <v>15.000000000000002</v>
      </c>
      <c r="M102" s="89"/>
    </row>
    <row r="103" spans="1:13" ht="13.5" customHeight="1">
      <c r="A103" s="86"/>
      <c r="B103" s="90" t="s">
        <v>60</v>
      </c>
      <c r="C103" s="161" t="s">
        <v>306</v>
      </c>
      <c r="D103" s="162"/>
      <c r="E103" s="162"/>
      <c r="F103" s="162"/>
      <c r="G103" s="162"/>
      <c r="H103" s="162"/>
      <c r="I103" s="162"/>
      <c r="J103" s="162"/>
      <c r="K103" s="162"/>
      <c r="L103" s="162"/>
      <c r="M103" s="163"/>
    </row>
    <row r="104" spans="1:64" ht="15" customHeight="1">
      <c r="A104" s="65" t="s">
        <v>219</v>
      </c>
      <c r="B104" s="66" t="s">
        <v>308</v>
      </c>
      <c r="C104" s="150" t="s">
        <v>309</v>
      </c>
      <c r="D104" s="150"/>
      <c r="E104" s="150"/>
      <c r="F104" s="150"/>
      <c r="G104" s="150"/>
      <c r="H104" s="150"/>
      <c r="I104" s="150"/>
      <c r="J104" s="66" t="s">
        <v>226</v>
      </c>
      <c r="K104" s="83">
        <v>42.8</v>
      </c>
      <c r="L104" s="108"/>
      <c r="M104" s="84">
        <f>K104*L104</f>
        <v>0</v>
      </c>
      <c r="Z104" s="83">
        <f>IF(AQ104="5",BJ104,0)</f>
        <v>0</v>
      </c>
      <c r="AB104" s="83">
        <f>IF(AQ104="1",BH104,0)</f>
        <v>0</v>
      </c>
      <c r="AC104" s="83">
        <f>IF(AQ104="1",BI104,0)</f>
        <v>0</v>
      </c>
      <c r="AD104" s="83">
        <f>IF(AQ104="7",BH104,0)</f>
        <v>0</v>
      </c>
      <c r="AE104" s="83">
        <f>IF(AQ104="7",BI104,0)</f>
        <v>0</v>
      </c>
      <c r="AF104" s="83">
        <f>IF(AQ104="2",BH104,0)</f>
        <v>0</v>
      </c>
      <c r="AG104" s="83">
        <f>IF(AQ104="2",BI104,0)</f>
        <v>0</v>
      </c>
      <c r="AH104" s="83">
        <f>IF(AQ104="0",BJ104,0)</f>
        <v>0</v>
      </c>
      <c r="AI104" s="72" t="s">
        <v>49</v>
      </c>
      <c r="AJ104" s="83">
        <f>IF(AN104=0,M104,0)</f>
        <v>0</v>
      </c>
      <c r="AK104" s="83">
        <f>IF(AN104=15,M104,0)</f>
        <v>0</v>
      </c>
      <c r="AL104" s="83">
        <f>IF(AN104=21,M104,0)</f>
        <v>0</v>
      </c>
      <c r="AN104" s="83">
        <v>21</v>
      </c>
      <c r="AO104" s="83">
        <f>L104*0</f>
        <v>0</v>
      </c>
      <c r="AP104" s="83">
        <f>L104*(1-0)</f>
        <v>0</v>
      </c>
      <c r="AQ104" s="85" t="s">
        <v>52</v>
      </c>
      <c r="AV104" s="83">
        <f>AW104+AX104</f>
        <v>0</v>
      </c>
      <c r="AW104" s="83">
        <f>K104*AO104</f>
        <v>0</v>
      </c>
      <c r="AX104" s="83">
        <f>K104*AP104</f>
        <v>0</v>
      </c>
      <c r="AY104" s="85" t="s">
        <v>305</v>
      </c>
      <c r="AZ104" s="85" t="s">
        <v>57</v>
      </c>
      <c r="BA104" s="72" t="s">
        <v>58</v>
      </c>
      <c r="BC104" s="83">
        <f>AW104+AX104</f>
        <v>0</v>
      </c>
      <c r="BD104" s="83">
        <f>L104/(100-BE104)*100</f>
        <v>0</v>
      </c>
      <c r="BE104" s="83">
        <v>0</v>
      </c>
      <c r="BF104" s="83">
        <f>104</f>
        <v>104</v>
      </c>
      <c r="BH104" s="83">
        <f>K104*AO104</f>
        <v>0</v>
      </c>
      <c r="BI104" s="83">
        <f>K104*AP104</f>
        <v>0</v>
      </c>
      <c r="BJ104" s="83">
        <f>K104*L104</f>
        <v>0</v>
      </c>
      <c r="BK104" s="83"/>
      <c r="BL104" s="83">
        <v>17</v>
      </c>
    </row>
    <row r="105" spans="1:13" ht="15" customHeight="1">
      <c r="A105" s="86"/>
      <c r="C105" s="87" t="s">
        <v>73</v>
      </c>
      <c r="I105" s="87" t="s">
        <v>310</v>
      </c>
      <c r="K105" s="88">
        <v>5</v>
      </c>
      <c r="M105" s="89"/>
    </row>
    <row r="106" spans="1:13" ht="15" customHeight="1">
      <c r="A106" s="86"/>
      <c r="C106" s="87" t="s">
        <v>101</v>
      </c>
      <c r="I106" s="87" t="s">
        <v>312</v>
      </c>
      <c r="K106" s="88">
        <v>9</v>
      </c>
      <c r="M106" s="89"/>
    </row>
    <row r="107" spans="1:13" ht="15" customHeight="1">
      <c r="A107" s="86"/>
      <c r="C107" s="87" t="s">
        <v>1118</v>
      </c>
      <c r="I107" s="87" t="s">
        <v>1096</v>
      </c>
      <c r="K107" s="88">
        <v>28.8</v>
      </c>
      <c r="M107" s="89"/>
    </row>
    <row r="108" spans="1:13" ht="13.5" customHeight="1">
      <c r="A108" s="86"/>
      <c r="B108" s="90" t="s">
        <v>60</v>
      </c>
      <c r="C108" s="161" t="s">
        <v>315</v>
      </c>
      <c r="D108" s="162"/>
      <c r="E108" s="162"/>
      <c r="F108" s="162"/>
      <c r="G108" s="162"/>
      <c r="H108" s="162"/>
      <c r="I108" s="162"/>
      <c r="J108" s="162"/>
      <c r="K108" s="162"/>
      <c r="L108" s="162"/>
      <c r="M108" s="163"/>
    </row>
    <row r="109" spans="1:64" ht="15" customHeight="1">
      <c r="A109" s="65" t="s">
        <v>223</v>
      </c>
      <c r="B109" s="66" t="s">
        <v>317</v>
      </c>
      <c r="C109" s="150" t="s">
        <v>318</v>
      </c>
      <c r="D109" s="150"/>
      <c r="E109" s="150"/>
      <c r="F109" s="150"/>
      <c r="G109" s="150"/>
      <c r="H109" s="150"/>
      <c r="I109" s="150"/>
      <c r="J109" s="66" t="s">
        <v>293</v>
      </c>
      <c r="K109" s="83">
        <v>57.6</v>
      </c>
      <c r="L109" s="108"/>
      <c r="M109" s="84">
        <f>K109*L109</f>
        <v>0</v>
      </c>
      <c r="Z109" s="83">
        <f>IF(AQ109="5",BJ109,0)</f>
        <v>0</v>
      </c>
      <c r="AB109" s="83">
        <f>IF(AQ109="1",BH109,0)</f>
        <v>0</v>
      </c>
      <c r="AC109" s="83">
        <f>IF(AQ109="1",BI109,0)</f>
        <v>0</v>
      </c>
      <c r="AD109" s="83">
        <f>IF(AQ109="7",BH109,0)</f>
        <v>0</v>
      </c>
      <c r="AE109" s="83">
        <f>IF(AQ109="7",BI109,0)</f>
        <v>0</v>
      </c>
      <c r="AF109" s="83">
        <f>IF(AQ109="2",BH109,0)</f>
        <v>0</v>
      </c>
      <c r="AG109" s="83">
        <f>IF(AQ109="2",BI109,0)</f>
        <v>0</v>
      </c>
      <c r="AH109" s="83">
        <f>IF(AQ109="0",BJ109,0)</f>
        <v>0</v>
      </c>
      <c r="AI109" s="72" t="s">
        <v>49</v>
      </c>
      <c r="AJ109" s="83">
        <f>IF(AN109=0,M109,0)</f>
        <v>0</v>
      </c>
      <c r="AK109" s="83">
        <f>IF(AN109=15,M109,0)</f>
        <v>0</v>
      </c>
      <c r="AL109" s="83">
        <f>IF(AN109=21,M109,0)</f>
        <v>0</v>
      </c>
      <c r="AN109" s="83">
        <v>21</v>
      </c>
      <c r="AO109" s="83">
        <f>L109*1</f>
        <v>0</v>
      </c>
      <c r="AP109" s="83">
        <f>L109*(1-1)</f>
        <v>0</v>
      </c>
      <c r="AQ109" s="85" t="s">
        <v>52</v>
      </c>
      <c r="AV109" s="83">
        <f>AW109+AX109</f>
        <v>0</v>
      </c>
      <c r="AW109" s="83">
        <f>K109*AO109</f>
        <v>0</v>
      </c>
      <c r="AX109" s="83">
        <f>K109*AP109</f>
        <v>0</v>
      </c>
      <c r="AY109" s="85" t="s">
        <v>305</v>
      </c>
      <c r="AZ109" s="85" t="s">
        <v>57</v>
      </c>
      <c r="BA109" s="72" t="s">
        <v>58</v>
      </c>
      <c r="BC109" s="83">
        <f>AW109+AX109</f>
        <v>0</v>
      </c>
      <c r="BD109" s="83">
        <f>L109/(100-BE109)*100</f>
        <v>0</v>
      </c>
      <c r="BE109" s="83">
        <v>0</v>
      </c>
      <c r="BF109" s="83">
        <f>109</f>
        <v>109</v>
      </c>
      <c r="BH109" s="83">
        <f>K109*AO109</f>
        <v>0</v>
      </c>
      <c r="BI109" s="83">
        <f>K109*AP109</f>
        <v>0</v>
      </c>
      <c r="BJ109" s="83">
        <f>K109*L109</f>
        <v>0</v>
      </c>
      <c r="BK109" s="83"/>
      <c r="BL109" s="83">
        <v>17</v>
      </c>
    </row>
    <row r="110" spans="1:13" ht="15" customHeight="1">
      <c r="A110" s="86"/>
      <c r="C110" s="87" t="s">
        <v>1119</v>
      </c>
      <c r="I110" s="87" t="s">
        <v>49</v>
      </c>
      <c r="K110" s="88">
        <v>57.6</v>
      </c>
      <c r="M110" s="89"/>
    </row>
    <row r="111" spans="1:64" ht="15" customHeight="1">
      <c r="A111" s="65" t="s">
        <v>234</v>
      </c>
      <c r="B111" s="66" t="s">
        <v>321</v>
      </c>
      <c r="C111" s="150" t="s">
        <v>322</v>
      </c>
      <c r="D111" s="150"/>
      <c r="E111" s="150"/>
      <c r="F111" s="150"/>
      <c r="G111" s="150"/>
      <c r="H111" s="150"/>
      <c r="I111" s="150"/>
      <c r="J111" s="66" t="s">
        <v>226</v>
      </c>
      <c r="K111" s="83">
        <v>3</v>
      </c>
      <c r="L111" s="108"/>
      <c r="M111" s="84">
        <f>K111*L111</f>
        <v>0</v>
      </c>
      <c r="Z111" s="83">
        <f>IF(AQ111="5",BJ111,0)</f>
        <v>0</v>
      </c>
      <c r="AB111" s="83">
        <f>IF(AQ111="1",BH111,0)</f>
        <v>0</v>
      </c>
      <c r="AC111" s="83">
        <f>IF(AQ111="1",BI111,0)</f>
        <v>0</v>
      </c>
      <c r="AD111" s="83">
        <f>IF(AQ111="7",BH111,0)</f>
        <v>0</v>
      </c>
      <c r="AE111" s="83">
        <f>IF(AQ111="7",BI111,0)</f>
        <v>0</v>
      </c>
      <c r="AF111" s="83">
        <f>IF(AQ111="2",BH111,0)</f>
        <v>0</v>
      </c>
      <c r="AG111" s="83">
        <f>IF(AQ111="2",BI111,0)</f>
        <v>0</v>
      </c>
      <c r="AH111" s="83">
        <f>IF(AQ111="0",BJ111,0)</f>
        <v>0</v>
      </c>
      <c r="AI111" s="72" t="s">
        <v>49</v>
      </c>
      <c r="AJ111" s="83">
        <f>IF(AN111=0,M111,0)</f>
        <v>0</v>
      </c>
      <c r="AK111" s="83">
        <f>IF(AN111=15,M111,0)</f>
        <v>0</v>
      </c>
      <c r="AL111" s="83">
        <f>IF(AN111=21,M111,0)</f>
        <v>0</v>
      </c>
      <c r="AN111" s="83">
        <v>21</v>
      </c>
      <c r="AO111" s="83">
        <f>L111*0.382794001578532</f>
        <v>0</v>
      </c>
      <c r="AP111" s="83">
        <f>L111*(1-0.382794001578532)</f>
        <v>0</v>
      </c>
      <c r="AQ111" s="85" t="s">
        <v>52</v>
      </c>
      <c r="AV111" s="83">
        <f>AW111+AX111</f>
        <v>0</v>
      </c>
      <c r="AW111" s="83">
        <f>K111*AO111</f>
        <v>0</v>
      </c>
      <c r="AX111" s="83">
        <f>K111*AP111</f>
        <v>0</v>
      </c>
      <c r="AY111" s="85" t="s">
        <v>305</v>
      </c>
      <c r="AZ111" s="85" t="s">
        <v>57</v>
      </c>
      <c r="BA111" s="72" t="s">
        <v>58</v>
      </c>
      <c r="BC111" s="83">
        <f>AW111+AX111</f>
        <v>0</v>
      </c>
      <c r="BD111" s="83">
        <f>L111/(100-BE111)*100</f>
        <v>0</v>
      </c>
      <c r="BE111" s="83">
        <v>0</v>
      </c>
      <c r="BF111" s="83">
        <f>111</f>
        <v>111</v>
      </c>
      <c r="BH111" s="83">
        <f>K111*AO111</f>
        <v>0</v>
      </c>
      <c r="BI111" s="83">
        <f>K111*AP111</f>
        <v>0</v>
      </c>
      <c r="BJ111" s="83">
        <f>K111*L111</f>
        <v>0</v>
      </c>
      <c r="BK111" s="83"/>
      <c r="BL111" s="83">
        <v>17</v>
      </c>
    </row>
    <row r="112" spans="1:13" ht="15" customHeight="1">
      <c r="A112" s="86"/>
      <c r="C112" s="87" t="s">
        <v>65</v>
      </c>
      <c r="I112" s="87" t="s">
        <v>312</v>
      </c>
      <c r="K112" s="88">
        <v>3.0000000000000004</v>
      </c>
      <c r="M112" s="89"/>
    </row>
    <row r="113" spans="1:47" ht="15" customHeight="1">
      <c r="A113" s="78" t="s">
        <v>49</v>
      </c>
      <c r="B113" s="79" t="s">
        <v>161</v>
      </c>
      <c r="C113" s="168" t="s">
        <v>323</v>
      </c>
      <c r="D113" s="168"/>
      <c r="E113" s="168"/>
      <c r="F113" s="168"/>
      <c r="G113" s="168"/>
      <c r="H113" s="168"/>
      <c r="I113" s="168"/>
      <c r="J113" s="80" t="s">
        <v>3</v>
      </c>
      <c r="K113" s="80" t="s">
        <v>3</v>
      </c>
      <c r="L113" s="80" t="s">
        <v>3</v>
      </c>
      <c r="M113" s="81">
        <f>SUM(M114:M114)</f>
        <v>0</v>
      </c>
      <c r="AI113" s="72" t="s">
        <v>49</v>
      </c>
      <c r="AS113" s="82">
        <f>SUM(AJ114:AJ114)</f>
        <v>0</v>
      </c>
      <c r="AT113" s="82">
        <f>SUM(AK114:AK114)</f>
        <v>0</v>
      </c>
      <c r="AU113" s="82">
        <f>SUM(AL114:AL114)</f>
        <v>0</v>
      </c>
    </row>
    <row r="114" spans="1:64" ht="15" customHeight="1">
      <c r="A114" s="65" t="s">
        <v>242</v>
      </c>
      <c r="B114" s="66" t="s">
        <v>325</v>
      </c>
      <c r="C114" s="150" t="s">
        <v>326</v>
      </c>
      <c r="D114" s="150"/>
      <c r="E114" s="150"/>
      <c r="F114" s="150"/>
      <c r="G114" s="150"/>
      <c r="H114" s="150"/>
      <c r="I114" s="150"/>
      <c r="J114" s="66" t="s">
        <v>79</v>
      </c>
      <c r="K114" s="83">
        <v>489</v>
      </c>
      <c r="L114" s="108"/>
      <c r="M114" s="84">
        <f>K114*L114</f>
        <v>0</v>
      </c>
      <c r="Z114" s="83">
        <f>IF(AQ114="5",BJ114,0)</f>
        <v>0</v>
      </c>
      <c r="AB114" s="83">
        <f>IF(AQ114="1",BH114,0)</f>
        <v>0</v>
      </c>
      <c r="AC114" s="83">
        <f>IF(AQ114="1",BI114,0)</f>
        <v>0</v>
      </c>
      <c r="AD114" s="83">
        <f>IF(AQ114="7",BH114,0)</f>
        <v>0</v>
      </c>
      <c r="AE114" s="83">
        <f>IF(AQ114="7",BI114,0)</f>
        <v>0</v>
      </c>
      <c r="AF114" s="83">
        <f>IF(AQ114="2",BH114,0)</f>
        <v>0</v>
      </c>
      <c r="AG114" s="83">
        <f>IF(AQ114="2",BI114,0)</f>
        <v>0</v>
      </c>
      <c r="AH114" s="83">
        <f>IF(AQ114="0",BJ114,0)</f>
        <v>0</v>
      </c>
      <c r="AI114" s="72" t="s">
        <v>49</v>
      </c>
      <c r="AJ114" s="83">
        <f>IF(AN114=0,M114,0)</f>
        <v>0</v>
      </c>
      <c r="AK114" s="83">
        <f>IF(AN114=15,M114,0)</f>
        <v>0</v>
      </c>
      <c r="AL114" s="83">
        <f>IF(AN114=21,M114,0)</f>
        <v>0</v>
      </c>
      <c r="AN114" s="83">
        <v>21</v>
      </c>
      <c r="AO114" s="83">
        <f>L114*0</f>
        <v>0</v>
      </c>
      <c r="AP114" s="83">
        <f>L114*(1-0)</f>
        <v>0</v>
      </c>
      <c r="AQ114" s="85" t="s">
        <v>52</v>
      </c>
      <c r="AV114" s="83">
        <f>AW114+AX114</f>
        <v>0</v>
      </c>
      <c r="AW114" s="83">
        <f>K114*AO114</f>
        <v>0</v>
      </c>
      <c r="AX114" s="83">
        <f>K114*AP114</f>
        <v>0</v>
      </c>
      <c r="AY114" s="85" t="s">
        <v>327</v>
      </c>
      <c r="AZ114" s="85" t="s">
        <v>57</v>
      </c>
      <c r="BA114" s="72" t="s">
        <v>58</v>
      </c>
      <c r="BC114" s="83">
        <f>AW114+AX114</f>
        <v>0</v>
      </c>
      <c r="BD114" s="83">
        <f>L114/(100-BE114)*100</f>
        <v>0</v>
      </c>
      <c r="BE114" s="83">
        <v>0</v>
      </c>
      <c r="BF114" s="83">
        <f>114</f>
        <v>114</v>
      </c>
      <c r="BH114" s="83">
        <f>K114*AO114</f>
        <v>0</v>
      </c>
      <c r="BI114" s="83">
        <f>K114*AP114</f>
        <v>0</v>
      </c>
      <c r="BJ114" s="83">
        <f>K114*L114</f>
        <v>0</v>
      </c>
      <c r="BK114" s="83"/>
      <c r="BL114" s="83">
        <v>18</v>
      </c>
    </row>
    <row r="115" spans="1:13" ht="15" customHeight="1">
      <c r="A115" s="86"/>
      <c r="C115" s="87" t="s">
        <v>1120</v>
      </c>
      <c r="I115" s="87" t="s">
        <v>49</v>
      </c>
      <c r="K115" s="88">
        <v>489.00000000000006</v>
      </c>
      <c r="M115" s="89"/>
    </row>
    <row r="116" spans="1:13" ht="13.5" customHeight="1">
      <c r="A116" s="86"/>
      <c r="B116" s="90" t="s">
        <v>60</v>
      </c>
      <c r="C116" s="161" t="s">
        <v>329</v>
      </c>
      <c r="D116" s="162"/>
      <c r="E116" s="162"/>
      <c r="F116" s="162"/>
      <c r="G116" s="162"/>
      <c r="H116" s="162"/>
      <c r="I116" s="162"/>
      <c r="J116" s="162"/>
      <c r="K116" s="162"/>
      <c r="L116" s="162"/>
      <c r="M116" s="163"/>
    </row>
    <row r="117" spans="1:47" ht="15" customHeight="1">
      <c r="A117" s="78" t="s">
        <v>49</v>
      </c>
      <c r="B117" s="79" t="s">
        <v>166</v>
      </c>
      <c r="C117" s="168" t="s">
        <v>334</v>
      </c>
      <c r="D117" s="168"/>
      <c r="E117" s="168"/>
      <c r="F117" s="168"/>
      <c r="G117" s="168"/>
      <c r="H117" s="168"/>
      <c r="I117" s="168"/>
      <c r="J117" s="80" t="s">
        <v>3</v>
      </c>
      <c r="K117" s="80" t="s">
        <v>3</v>
      </c>
      <c r="L117" s="80" t="s">
        <v>3</v>
      </c>
      <c r="M117" s="81">
        <f>SUM(M118:M118)</f>
        <v>0</v>
      </c>
      <c r="AI117" s="72" t="s">
        <v>49</v>
      </c>
      <c r="AS117" s="82">
        <f>SUM(AJ118:AJ118)</f>
        <v>0</v>
      </c>
      <c r="AT117" s="82">
        <f>SUM(AK118:AK118)</f>
        <v>0</v>
      </c>
      <c r="AU117" s="82">
        <f>SUM(AL118:AL118)</f>
        <v>0</v>
      </c>
    </row>
    <row r="118" spans="1:64" ht="15" customHeight="1">
      <c r="A118" s="65" t="s">
        <v>251</v>
      </c>
      <c r="B118" s="66" t="s">
        <v>335</v>
      </c>
      <c r="C118" s="150" t="s">
        <v>336</v>
      </c>
      <c r="D118" s="150"/>
      <c r="E118" s="150"/>
      <c r="F118" s="150"/>
      <c r="G118" s="150"/>
      <c r="H118" s="150"/>
      <c r="I118" s="150"/>
      <c r="J118" s="66" t="s">
        <v>293</v>
      </c>
      <c r="K118" s="83">
        <v>310.48</v>
      </c>
      <c r="L118" s="108"/>
      <c r="M118" s="84">
        <f>K118*L118</f>
        <v>0</v>
      </c>
      <c r="Z118" s="83">
        <f>IF(AQ118="5",BJ118,0)</f>
        <v>0</v>
      </c>
      <c r="AB118" s="83">
        <f>IF(AQ118="1",BH118,0)</f>
        <v>0</v>
      </c>
      <c r="AC118" s="83">
        <f>IF(AQ118="1",BI118,0)</f>
        <v>0</v>
      </c>
      <c r="AD118" s="83">
        <f>IF(AQ118="7",BH118,0)</f>
        <v>0</v>
      </c>
      <c r="AE118" s="83">
        <f>IF(AQ118="7",BI118,0)</f>
        <v>0</v>
      </c>
      <c r="AF118" s="83">
        <f>IF(AQ118="2",BH118,0)</f>
        <v>0</v>
      </c>
      <c r="AG118" s="83">
        <f>IF(AQ118="2",BI118,0)</f>
        <v>0</v>
      </c>
      <c r="AH118" s="83">
        <f>IF(AQ118="0",BJ118,0)</f>
        <v>0</v>
      </c>
      <c r="AI118" s="72" t="s">
        <v>49</v>
      </c>
      <c r="AJ118" s="83">
        <f>IF(AN118=0,M118,0)</f>
        <v>0</v>
      </c>
      <c r="AK118" s="83">
        <f>IF(AN118=15,M118,0)</f>
        <v>0</v>
      </c>
      <c r="AL118" s="83">
        <f>IF(AN118=21,M118,0)</f>
        <v>0</v>
      </c>
      <c r="AN118" s="83">
        <v>21</v>
      </c>
      <c r="AO118" s="83">
        <f>L118*0</f>
        <v>0</v>
      </c>
      <c r="AP118" s="83">
        <f>L118*(1-0)</f>
        <v>0</v>
      </c>
      <c r="AQ118" s="85" t="s">
        <v>52</v>
      </c>
      <c r="AV118" s="83">
        <f>AW118+AX118</f>
        <v>0</v>
      </c>
      <c r="AW118" s="83">
        <f>K118*AO118</f>
        <v>0</v>
      </c>
      <c r="AX118" s="83">
        <f>K118*AP118</f>
        <v>0</v>
      </c>
      <c r="AY118" s="85" t="s">
        <v>337</v>
      </c>
      <c r="AZ118" s="85" t="s">
        <v>57</v>
      </c>
      <c r="BA118" s="72" t="s">
        <v>58</v>
      </c>
      <c r="BC118" s="83">
        <f>AW118+AX118</f>
        <v>0</v>
      </c>
      <c r="BD118" s="83">
        <f>L118/(100-BE118)*100</f>
        <v>0</v>
      </c>
      <c r="BE118" s="83">
        <v>0</v>
      </c>
      <c r="BF118" s="83">
        <f>118</f>
        <v>118</v>
      </c>
      <c r="BH118" s="83">
        <f>K118*AO118</f>
        <v>0</v>
      </c>
      <c r="BI118" s="83">
        <f>K118*AP118</f>
        <v>0</v>
      </c>
      <c r="BJ118" s="83">
        <f>K118*L118</f>
        <v>0</v>
      </c>
      <c r="BK118" s="83"/>
      <c r="BL118" s="83">
        <v>19</v>
      </c>
    </row>
    <row r="119" spans="1:13" ht="15" customHeight="1">
      <c r="A119" s="86"/>
      <c r="C119" s="87" t="s">
        <v>1121</v>
      </c>
      <c r="I119" s="87" t="s">
        <v>49</v>
      </c>
      <c r="K119" s="88">
        <v>310.48</v>
      </c>
      <c r="M119" s="89"/>
    </row>
    <row r="120" spans="1:47" ht="15" customHeight="1">
      <c r="A120" s="78" t="s">
        <v>49</v>
      </c>
      <c r="B120" s="79" t="s">
        <v>183</v>
      </c>
      <c r="C120" s="168" t="s">
        <v>339</v>
      </c>
      <c r="D120" s="168"/>
      <c r="E120" s="168"/>
      <c r="F120" s="168"/>
      <c r="G120" s="168"/>
      <c r="H120" s="168"/>
      <c r="I120" s="168"/>
      <c r="J120" s="80" t="s">
        <v>3</v>
      </c>
      <c r="K120" s="80" t="s">
        <v>3</v>
      </c>
      <c r="L120" s="80" t="s">
        <v>3</v>
      </c>
      <c r="M120" s="81">
        <f>SUM(M121:M128)</f>
        <v>0</v>
      </c>
      <c r="AI120" s="72" t="s">
        <v>49</v>
      </c>
      <c r="AS120" s="82">
        <f>SUM(AJ121:AJ128)</f>
        <v>0</v>
      </c>
      <c r="AT120" s="82">
        <f>SUM(AK121:AK128)</f>
        <v>0</v>
      </c>
      <c r="AU120" s="82">
        <f>SUM(AL121:AL128)</f>
        <v>0</v>
      </c>
    </row>
    <row r="121" spans="1:64" ht="15" customHeight="1">
      <c r="A121" s="65" t="s">
        <v>256</v>
      </c>
      <c r="B121" s="66" t="s">
        <v>341</v>
      </c>
      <c r="C121" s="150" t="s">
        <v>342</v>
      </c>
      <c r="D121" s="150"/>
      <c r="E121" s="150"/>
      <c r="F121" s="150"/>
      <c r="G121" s="150"/>
      <c r="H121" s="150"/>
      <c r="I121" s="150"/>
      <c r="J121" s="66" t="s">
        <v>191</v>
      </c>
      <c r="K121" s="83">
        <v>63</v>
      </c>
      <c r="L121" s="108"/>
      <c r="M121" s="84">
        <f>K121*L121</f>
        <v>0</v>
      </c>
      <c r="Z121" s="83">
        <f>IF(AQ121="5",BJ121,0)</f>
        <v>0</v>
      </c>
      <c r="AB121" s="83">
        <f>IF(AQ121="1",BH121,0)</f>
        <v>0</v>
      </c>
      <c r="AC121" s="83">
        <f>IF(AQ121="1",BI121,0)</f>
        <v>0</v>
      </c>
      <c r="AD121" s="83">
        <f>IF(AQ121="7",BH121,0)</f>
        <v>0</v>
      </c>
      <c r="AE121" s="83">
        <f>IF(AQ121="7",BI121,0)</f>
        <v>0</v>
      </c>
      <c r="AF121" s="83">
        <f>IF(AQ121="2",BH121,0)</f>
        <v>0</v>
      </c>
      <c r="AG121" s="83">
        <f>IF(AQ121="2",BI121,0)</f>
        <v>0</v>
      </c>
      <c r="AH121" s="83">
        <f>IF(AQ121="0",BJ121,0)</f>
        <v>0</v>
      </c>
      <c r="AI121" s="72" t="s">
        <v>49</v>
      </c>
      <c r="AJ121" s="83">
        <f>IF(AN121=0,M121,0)</f>
        <v>0</v>
      </c>
      <c r="AK121" s="83">
        <f>IF(AN121=15,M121,0)</f>
        <v>0</v>
      </c>
      <c r="AL121" s="83">
        <f>IF(AN121=21,M121,0)</f>
        <v>0</v>
      </c>
      <c r="AN121" s="83">
        <v>21</v>
      </c>
      <c r="AO121" s="83">
        <f>L121*0</f>
        <v>0</v>
      </c>
      <c r="AP121" s="83">
        <f>L121*(1-0)</f>
        <v>0</v>
      </c>
      <c r="AQ121" s="85" t="s">
        <v>52</v>
      </c>
      <c r="AV121" s="83">
        <f>AW121+AX121</f>
        <v>0</v>
      </c>
      <c r="AW121" s="83">
        <f>K121*AO121</f>
        <v>0</v>
      </c>
      <c r="AX121" s="83">
        <f>K121*AP121</f>
        <v>0</v>
      </c>
      <c r="AY121" s="85" t="s">
        <v>343</v>
      </c>
      <c r="AZ121" s="85" t="s">
        <v>344</v>
      </c>
      <c r="BA121" s="72" t="s">
        <v>58</v>
      </c>
      <c r="BC121" s="83">
        <f>AW121+AX121</f>
        <v>0</v>
      </c>
      <c r="BD121" s="83">
        <f>L121/(100-BE121)*100</f>
        <v>0</v>
      </c>
      <c r="BE121" s="83">
        <v>0</v>
      </c>
      <c r="BF121" s="83">
        <f>121</f>
        <v>121</v>
      </c>
      <c r="BH121" s="83">
        <f>K121*AO121</f>
        <v>0</v>
      </c>
      <c r="BI121" s="83">
        <f>K121*AP121</f>
        <v>0</v>
      </c>
      <c r="BJ121" s="83">
        <f>K121*L121</f>
        <v>0</v>
      </c>
      <c r="BK121" s="83"/>
      <c r="BL121" s="83">
        <v>21</v>
      </c>
    </row>
    <row r="122" spans="1:13" ht="15" customHeight="1">
      <c r="A122" s="86"/>
      <c r="C122" s="87" t="s">
        <v>394</v>
      </c>
      <c r="I122" s="87" t="s">
        <v>49</v>
      </c>
      <c r="K122" s="88">
        <v>63.00000000000001</v>
      </c>
      <c r="M122" s="89"/>
    </row>
    <row r="123" spans="1:64" ht="15" customHeight="1">
      <c r="A123" s="65" t="s">
        <v>265</v>
      </c>
      <c r="B123" s="66" t="s">
        <v>347</v>
      </c>
      <c r="C123" s="150" t="s">
        <v>348</v>
      </c>
      <c r="D123" s="150"/>
      <c r="E123" s="150"/>
      <c r="F123" s="150"/>
      <c r="G123" s="150"/>
      <c r="H123" s="150"/>
      <c r="I123" s="150"/>
      <c r="J123" s="66" t="s">
        <v>191</v>
      </c>
      <c r="K123" s="83">
        <v>64.89</v>
      </c>
      <c r="L123" s="108"/>
      <c r="M123" s="84">
        <f>K123*L123</f>
        <v>0</v>
      </c>
      <c r="Z123" s="83">
        <f>IF(AQ123="5",BJ123,0)</f>
        <v>0</v>
      </c>
      <c r="AB123" s="83">
        <f>IF(AQ123="1",BH123,0)</f>
        <v>0</v>
      </c>
      <c r="AC123" s="83">
        <f>IF(AQ123="1",BI123,0)</f>
        <v>0</v>
      </c>
      <c r="AD123" s="83">
        <f>IF(AQ123="7",BH123,0)</f>
        <v>0</v>
      </c>
      <c r="AE123" s="83">
        <f>IF(AQ123="7",BI123,0)</f>
        <v>0</v>
      </c>
      <c r="AF123" s="83">
        <f>IF(AQ123="2",BH123,0)</f>
        <v>0</v>
      </c>
      <c r="AG123" s="83">
        <f>IF(AQ123="2",BI123,0)</f>
        <v>0</v>
      </c>
      <c r="AH123" s="83">
        <f>IF(AQ123="0",BJ123,0)</f>
        <v>0</v>
      </c>
      <c r="AI123" s="72" t="s">
        <v>49</v>
      </c>
      <c r="AJ123" s="83">
        <f>IF(AN123=0,M123,0)</f>
        <v>0</v>
      </c>
      <c r="AK123" s="83">
        <f>IF(AN123=15,M123,0)</f>
        <v>0</v>
      </c>
      <c r="AL123" s="83">
        <f>IF(AN123=21,M123,0)</f>
        <v>0</v>
      </c>
      <c r="AN123" s="83">
        <v>21</v>
      </c>
      <c r="AO123" s="83">
        <f>L123*1</f>
        <v>0</v>
      </c>
      <c r="AP123" s="83">
        <f>L123*(1-1)</f>
        <v>0</v>
      </c>
      <c r="AQ123" s="85" t="s">
        <v>52</v>
      </c>
      <c r="AV123" s="83">
        <f>AW123+AX123</f>
        <v>0</v>
      </c>
      <c r="AW123" s="83">
        <f>K123*AO123</f>
        <v>0</v>
      </c>
      <c r="AX123" s="83">
        <f>K123*AP123</f>
        <v>0</v>
      </c>
      <c r="AY123" s="85" t="s">
        <v>343</v>
      </c>
      <c r="AZ123" s="85" t="s">
        <v>344</v>
      </c>
      <c r="BA123" s="72" t="s">
        <v>58</v>
      </c>
      <c r="BC123" s="83">
        <f>AW123+AX123</f>
        <v>0</v>
      </c>
      <c r="BD123" s="83">
        <f>L123/(100-BE123)*100</f>
        <v>0</v>
      </c>
      <c r="BE123" s="83">
        <v>0</v>
      </c>
      <c r="BF123" s="83">
        <f>123</f>
        <v>123</v>
      </c>
      <c r="BH123" s="83">
        <f>K123*AO123</f>
        <v>0</v>
      </c>
      <c r="BI123" s="83">
        <f>K123*AP123</f>
        <v>0</v>
      </c>
      <c r="BJ123" s="83">
        <f>K123*L123</f>
        <v>0</v>
      </c>
      <c r="BK123" s="83"/>
      <c r="BL123" s="83">
        <v>21</v>
      </c>
    </row>
    <row r="124" spans="1:13" ht="15" customHeight="1">
      <c r="A124" s="86"/>
      <c r="C124" s="87" t="s">
        <v>394</v>
      </c>
      <c r="I124" s="87" t="s">
        <v>49</v>
      </c>
      <c r="K124" s="88">
        <v>63.00000000000001</v>
      </c>
      <c r="M124" s="89"/>
    </row>
    <row r="125" spans="1:13" ht="15" customHeight="1">
      <c r="A125" s="86"/>
      <c r="C125" s="87" t="s">
        <v>1122</v>
      </c>
      <c r="I125" s="87" t="s">
        <v>49</v>
      </c>
      <c r="K125" s="88">
        <v>1.8900000000000001</v>
      </c>
      <c r="M125" s="89"/>
    </row>
    <row r="126" spans="1:64" ht="15" customHeight="1">
      <c r="A126" s="65" t="s">
        <v>271</v>
      </c>
      <c r="B126" s="66" t="s">
        <v>351</v>
      </c>
      <c r="C126" s="150" t="s">
        <v>352</v>
      </c>
      <c r="D126" s="150"/>
      <c r="E126" s="150"/>
      <c r="F126" s="150"/>
      <c r="G126" s="150"/>
      <c r="H126" s="150"/>
      <c r="I126" s="150"/>
      <c r="J126" s="66" t="s">
        <v>79</v>
      </c>
      <c r="K126" s="83">
        <v>31.5</v>
      </c>
      <c r="L126" s="108"/>
      <c r="M126" s="84">
        <f>K126*L126</f>
        <v>0</v>
      </c>
      <c r="Z126" s="83">
        <f>IF(AQ126="5",BJ126,0)</f>
        <v>0</v>
      </c>
      <c r="AB126" s="83">
        <f>IF(AQ126="1",BH126,0)</f>
        <v>0</v>
      </c>
      <c r="AC126" s="83">
        <f>IF(AQ126="1",BI126,0)</f>
        <v>0</v>
      </c>
      <c r="AD126" s="83">
        <f>IF(AQ126="7",BH126,0)</f>
        <v>0</v>
      </c>
      <c r="AE126" s="83">
        <f>IF(AQ126="7",BI126,0)</f>
        <v>0</v>
      </c>
      <c r="AF126" s="83">
        <f>IF(AQ126="2",BH126,0)</f>
        <v>0</v>
      </c>
      <c r="AG126" s="83">
        <f>IF(AQ126="2",BI126,0)</f>
        <v>0</v>
      </c>
      <c r="AH126" s="83">
        <f>IF(AQ126="0",BJ126,0)</f>
        <v>0</v>
      </c>
      <c r="AI126" s="72" t="s">
        <v>49</v>
      </c>
      <c r="AJ126" s="83">
        <f>IF(AN126=0,M126,0)</f>
        <v>0</v>
      </c>
      <c r="AK126" s="83">
        <f>IF(AN126=15,M126,0)</f>
        <v>0</v>
      </c>
      <c r="AL126" s="83">
        <f>IF(AN126=21,M126,0)</f>
        <v>0</v>
      </c>
      <c r="AN126" s="83">
        <v>21</v>
      </c>
      <c r="AO126" s="83">
        <f>L126*0.102067183462532</f>
        <v>0</v>
      </c>
      <c r="AP126" s="83">
        <f>L126*(1-0.102067183462532)</f>
        <v>0</v>
      </c>
      <c r="AQ126" s="85" t="s">
        <v>52</v>
      </c>
      <c r="AV126" s="83">
        <f>AW126+AX126</f>
        <v>0</v>
      </c>
      <c r="AW126" s="83">
        <f>K126*AO126</f>
        <v>0</v>
      </c>
      <c r="AX126" s="83">
        <f>K126*AP126</f>
        <v>0</v>
      </c>
      <c r="AY126" s="85" t="s">
        <v>343</v>
      </c>
      <c r="AZ126" s="85" t="s">
        <v>344</v>
      </c>
      <c r="BA126" s="72" t="s">
        <v>58</v>
      </c>
      <c r="BC126" s="83">
        <f>AW126+AX126</f>
        <v>0</v>
      </c>
      <c r="BD126" s="83">
        <f>L126/(100-BE126)*100</f>
        <v>0</v>
      </c>
      <c r="BE126" s="83">
        <v>0</v>
      </c>
      <c r="BF126" s="83">
        <f>126</f>
        <v>126</v>
      </c>
      <c r="BH126" s="83">
        <f>K126*AO126</f>
        <v>0</v>
      </c>
      <c r="BI126" s="83">
        <f>K126*AP126</f>
        <v>0</v>
      </c>
      <c r="BJ126" s="83">
        <f>K126*L126</f>
        <v>0</v>
      </c>
      <c r="BK126" s="83"/>
      <c r="BL126" s="83">
        <v>21</v>
      </c>
    </row>
    <row r="127" spans="1:13" ht="15" customHeight="1">
      <c r="A127" s="86"/>
      <c r="C127" s="87" t="s">
        <v>1123</v>
      </c>
      <c r="I127" s="87" t="s">
        <v>49</v>
      </c>
      <c r="K127" s="88">
        <v>31.500000000000004</v>
      </c>
      <c r="M127" s="89"/>
    </row>
    <row r="128" spans="1:64" ht="15" customHeight="1">
      <c r="A128" s="65" t="s">
        <v>274</v>
      </c>
      <c r="B128" s="66" t="s">
        <v>355</v>
      </c>
      <c r="C128" s="150" t="s">
        <v>356</v>
      </c>
      <c r="D128" s="150"/>
      <c r="E128" s="150"/>
      <c r="F128" s="150"/>
      <c r="G128" s="150"/>
      <c r="H128" s="150"/>
      <c r="I128" s="150"/>
      <c r="J128" s="66" t="s">
        <v>226</v>
      </c>
      <c r="K128" s="83">
        <v>5.5</v>
      </c>
      <c r="L128" s="108"/>
      <c r="M128" s="84">
        <f>K128*L128</f>
        <v>0</v>
      </c>
      <c r="Z128" s="83">
        <f>IF(AQ128="5",BJ128,0)</f>
        <v>0</v>
      </c>
      <c r="AB128" s="83">
        <f>IF(AQ128="1",BH128,0)</f>
        <v>0</v>
      </c>
      <c r="AC128" s="83">
        <f>IF(AQ128="1",BI128,0)</f>
        <v>0</v>
      </c>
      <c r="AD128" s="83">
        <f>IF(AQ128="7",BH128,0)</f>
        <v>0</v>
      </c>
      <c r="AE128" s="83">
        <f>IF(AQ128="7",BI128,0)</f>
        <v>0</v>
      </c>
      <c r="AF128" s="83">
        <f>IF(AQ128="2",BH128,0)</f>
        <v>0</v>
      </c>
      <c r="AG128" s="83">
        <f>IF(AQ128="2",BI128,0)</f>
        <v>0</v>
      </c>
      <c r="AH128" s="83">
        <f>IF(AQ128="0",BJ128,0)</f>
        <v>0</v>
      </c>
      <c r="AI128" s="72" t="s">
        <v>49</v>
      </c>
      <c r="AJ128" s="83">
        <f>IF(AN128=0,M128,0)</f>
        <v>0</v>
      </c>
      <c r="AK128" s="83">
        <f>IF(AN128=15,M128,0)</f>
        <v>0</v>
      </c>
      <c r="AL128" s="83">
        <f>IF(AN128=21,M128,0)</f>
        <v>0</v>
      </c>
      <c r="AN128" s="83">
        <v>21</v>
      </c>
      <c r="AO128" s="83">
        <f>L128*0.683083083083083</f>
        <v>0</v>
      </c>
      <c r="AP128" s="83">
        <f>L128*(1-0.683083083083083)</f>
        <v>0</v>
      </c>
      <c r="AQ128" s="85" t="s">
        <v>52</v>
      </c>
      <c r="AV128" s="83">
        <f>AW128+AX128</f>
        <v>0</v>
      </c>
      <c r="AW128" s="83">
        <f>K128*AO128</f>
        <v>0</v>
      </c>
      <c r="AX128" s="83">
        <f>K128*AP128</f>
        <v>0</v>
      </c>
      <c r="AY128" s="85" t="s">
        <v>343</v>
      </c>
      <c r="AZ128" s="85" t="s">
        <v>344</v>
      </c>
      <c r="BA128" s="72" t="s">
        <v>58</v>
      </c>
      <c r="BC128" s="83">
        <f>AW128+AX128</f>
        <v>0</v>
      </c>
      <c r="BD128" s="83">
        <f>L128/(100-BE128)*100</f>
        <v>0</v>
      </c>
      <c r="BE128" s="83">
        <v>0</v>
      </c>
      <c r="BF128" s="83">
        <f>128</f>
        <v>128</v>
      </c>
      <c r="BH128" s="83">
        <f>K128*AO128</f>
        <v>0</v>
      </c>
      <c r="BI128" s="83">
        <f>K128*AP128</f>
        <v>0</v>
      </c>
      <c r="BJ128" s="83">
        <f>K128*L128</f>
        <v>0</v>
      </c>
      <c r="BK128" s="83"/>
      <c r="BL128" s="83">
        <v>21</v>
      </c>
    </row>
    <row r="129" spans="1:13" ht="15" customHeight="1">
      <c r="A129" s="86"/>
      <c r="C129" s="87" t="s">
        <v>1124</v>
      </c>
      <c r="I129" s="87" t="s">
        <v>49</v>
      </c>
      <c r="K129" s="88">
        <v>5.500000000000001</v>
      </c>
      <c r="M129" s="89"/>
    </row>
    <row r="130" spans="1:47" ht="15" customHeight="1">
      <c r="A130" s="78" t="s">
        <v>49</v>
      </c>
      <c r="B130" s="79" t="s">
        <v>213</v>
      </c>
      <c r="C130" s="168" t="s">
        <v>362</v>
      </c>
      <c r="D130" s="168"/>
      <c r="E130" s="168"/>
      <c r="F130" s="168"/>
      <c r="G130" s="168"/>
      <c r="H130" s="168"/>
      <c r="I130" s="168"/>
      <c r="J130" s="80" t="s">
        <v>3</v>
      </c>
      <c r="K130" s="80" t="s">
        <v>3</v>
      </c>
      <c r="L130" s="80" t="s">
        <v>3</v>
      </c>
      <c r="M130" s="81">
        <f>SUM(M131:M163)</f>
        <v>0</v>
      </c>
      <c r="AI130" s="72" t="s">
        <v>49</v>
      </c>
      <c r="AS130" s="82">
        <f>SUM(AJ131:AJ163)</f>
        <v>0</v>
      </c>
      <c r="AT130" s="82">
        <f>SUM(AK131:AK163)</f>
        <v>0</v>
      </c>
      <c r="AU130" s="82">
        <f>SUM(AL131:AL163)</f>
        <v>0</v>
      </c>
    </row>
    <row r="131" spans="1:64" ht="15" customHeight="1">
      <c r="A131" s="65" t="s">
        <v>275</v>
      </c>
      <c r="B131" s="66" t="s">
        <v>364</v>
      </c>
      <c r="C131" s="150" t="s">
        <v>365</v>
      </c>
      <c r="D131" s="150"/>
      <c r="E131" s="150"/>
      <c r="F131" s="150"/>
      <c r="G131" s="150"/>
      <c r="H131" s="150"/>
      <c r="I131" s="150"/>
      <c r="J131" s="66" t="s">
        <v>226</v>
      </c>
      <c r="K131" s="83">
        <v>16.65</v>
      </c>
      <c r="L131" s="108"/>
      <c r="M131" s="84">
        <f>K131*L131</f>
        <v>0</v>
      </c>
      <c r="Z131" s="83">
        <f>IF(AQ131="5",BJ131,0)</f>
        <v>0</v>
      </c>
      <c r="AB131" s="83">
        <f>IF(AQ131="1",BH131,0)</f>
        <v>0</v>
      </c>
      <c r="AC131" s="83">
        <f>IF(AQ131="1",BI131,0)</f>
        <v>0</v>
      </c>
      <c r="AD131" s="83">
        <f>IF(AQ131="7",BH131,0)</f>
        <v>0</v>
      </c>
      <c r="AE131" s="83">
        <f>IF(AQ131="7",BI131,0)</f>
        <v>0</v>
      </c>
      <c r="AF131" s="83">
        <f>IF(AQ131="2",BH131,0)</f>
        <v>0</v>
      </c>
      <c r="AG131" s="83">
        <f>IF(AQ131="2",BI131,0)</f>
        <v>0</v>
      </c>
      <c r="AH131" s="83">
        <f>IF(AQ131="0",BJ131,0)</f>
        <v>0</v>
      </c>
      <c r="AI131" s="72" t="s">
        <v>49</v>
      </c>
      <c r="AJ131" s="83">
        <f>IF(AN131=0,M131,0)</f>
        <v>0</v>
      </c>
      <c r="AK131" s="83">
        <f>IF(AN131=15,M131,0)</f>
        <v>0</v>
      </c>
      <c r="AL131" s="83">
        <f>IF(AN131=21,M131,0)</f>
        <v>0</v>
      </c>
      <c r="AN131" s="83">
        <v>21</v>
      </c>
      <c r="AO131" s="83">
        <f>L131*0.914303112313938</f>
        <v>0</v>
      </c>
      <c r="AP131" s="83">
        <f>L131*(1-0.914303112313938)</f>
        <v>0</v>
      </c>
      <c r="AQ131" s="85" t="s">
        <v>52</v>
      </c>
      <c r="AV131" s="83">
        <f>AW131+AX131</f>
        <v>0</v>
      </c>
      <c r="AW131" s="83">
        <f>K131*AO131</f>
        <v>0</v>
      </c>
      <c r="AX131" s="83">
        <f>K131*AP131</f>
        <v>0</v>
      </c>
      <c r="AY131" s="85" t="s">
        <v>366</v>
      </c>
      <c r="AZ131" s="85" t="s">
        <v>344</v>
      </c>
      <c r="BA131" s="72" t="s">
        <v>58</v>
      </c>
      <c r="BC131" s="83">
        <f>AW131+AX131</f>
        <v>0</v>
      </c>
      <c r="BD131" s="83">
        <f>L131/(100-BE131)*100</f>
        <v>0</v>
      </c>
      <c r="BE131" s="83">
        <v>0</v>
      </c>
      <c r="BF131" s="83">
        <f>131</f>
        <v>131</v>
      </c>
      <c r="BH131" s="83">
        <f>K131*AO131</f>
        <v>0</v>
      </c>
      <c r="BI131" s="83">
        <f>K131*AP131</f>
        <v>0</v>
      </c>
      <c r="BJ131" s="83">
        <f>K131*L131</f>
        <v>0</v>
      </c>
      <c r="BK131" s="83"/>
      <c r="BL131" s="83">
        <v>27</v>
      </c>
    </row>
    <row r="132" spans="1:13" ht="15" customHeight="1">
      <c r="A132" s="86"/>
      <c r="C132" s="87" t="s">
        <v>1125</v>
      </c>
      <c r="I132" s="87" t="s">
        <v>368</v>
      </c>
      <c r="K132" s="88">
        <v>16.650000000000002</v>
      </c>
      <c r="M132" s="89"/>
    </row>
    <row r="133" spans="1:13" ht="27" customHeight="1">
      <c r="A133" s="86"/>
      <c r="B133" s="90" t="s">
        <v>60</v>
      </c>
      <c r="C133" s="161" t="s">
        <v>369</v>
      </c>
      <c r="D133" s="162"/>
      <c r="E133" s="162"/>
      <c r="F133" s="162"/>
      <c r="G133" s="162"/>
      <c r="H133" s="162"/>
      <c r="I133" s="162"/>
      <c r="J133" s="162"/>
      <c r="K133" s="162"/>
      <c r="L133" s="162"/>
      <c r="M133" s="163"/>
    </row>
    <row r="134" spans="1:64" ht="15" customHeight="1">
      <c r="A134" s="65" t="s">
        <v>278</v>
      </c>
      <c r="B134" s="66" t="s">
        <v>371</v>
      </c>
      <c r="C134" s="150" t="s">
        <v>372</v>
      </c>
      <c r="D134" s="150"/>
      <c r="E134" s="150"/>
      <c r="F134" s="150"/>
      <c r="G134" s="150"/>
      <c r="H134" s="150"/>
      <c r="I134" s="150"/>
      <c r="J134" s="66" t="s">
        <v>293</v>
      </c>
      <c r="K134" s="83">
        <v>0.22378</v>
      </c>
      <c r="L134" s="108"/>
      <c r="M134" s="84">
        <f>K134*L134</f>
        <v>0</v>
      </c>
      <c r="Z134" s="83">
        <f>IF(AQ134="5",BJ134,0)</f>
        <v>0</v>
      </c>
      <c r="AB134" s="83">
        <f>IF(AQ134="1",BH134,0)</f>
        <v>0</v>
      </c>
      <c r="AC134" s="83">
        <f>IF(AQ134="1",BI134,0)</f>
        <v>0</v>
      </c>
      <c r="AD134" s="83">
        <f>IF(AQ134="7",BH134,0)</f>
        <v>0</v>
      </c>
      <c r="AE134" s="83">
        <f>IF(AQ134="7",BI134,0)</f>
        <v>0</v>
      </c>
      <c r="AF134" s="83">
        <f>IF(AQ134="2",BH134,0)</f>
        <v>0</v>
      </c>
      <c r="AG134" s="83">
        <f>IF(AQ134="2",BI134,0)</f>
        <v>0</v>
      </c>
      <c r="AH134" s="83">
        <f>IF(AQ134="0",BJ134,0)</f>
        <v>0</v>
      </c>
      <c r="AI134" s="72" t="s">
        <v>49</v>
      </c>
      <c r="AJ134" s="83">
        <f>IF(AN134=0,M134,0)</f>
        <v>0</v>
      </c>
      <c r="AK134" s="83">
        <f>IF(AN134=15,M134,0)</f>
        <v>0</v>
      </c>
      <c r="AL134" s="83">
        <f>IF(AN134=21,M134,0)</f>
        <v>0</v>
      </c>
      <c r="AN134" s="83">
        <v>21</v>
      </c>
      <c r="AO134" s="83">
        <f>L134*1</f>
        <v>0</v>
      </c>
      <c r="AP134" s="83">
        <f>L134*(1-1)</f>
        <v>0</v>
      </c>
      <c r="AQ134" s="85" t="s">
        <v>52</v>
      </c>
      <c r="AV134" s="83">
        <f>AW134+AX134</f>
        <v>0</v>
      </c>
      <c r="AW134" s="83">
        <f>K134*AO134</f>
        <v>0</v>
      </c>
      <c r="AX134" s="83">
        <f>K134*AP134</f>
        <v>0</v>
      </c>
      <c r="AY134" s="85" t="s">
        <v>366</v>
      </c>
      <c r="AZ134" s="85" t="s">
        <v>344</v>
      </c>
      <c r="BA134" s="72" t="s">
        <v>58</v>
      </c>
      <c r="BC134" s="83">
        <f>AW134+AX134</f>
        <v>0</v>
      </c>
      <c r="BD134" s="83">
        <f>L134/(100-BE134)*100</f>
        <v>0</v>
      </c>
      <c r="BE134" s="83">
        <v>0</v>
      </c>
      <c r="BF134" s="83">
        <f>134</f>
        <v>134</v>
      </c>
      <c r="BH134" s="83">
        <f>K134*AO134</f>
        <v>0</v>
      </c>
      <c r="BI134" s="83">
        <f>K134*AP134</f>
        <v>0</v>
      </c>
      <c r="BJ134" s="83">
        <f>K134*L134</f>
        <v>0</v>
      </c>
      <c r="BK134" s="83"/>
      <c r="BL134" s="83">
        <v>27</v>
      </c>
    </row>
    <row r="135" spans="1:13" ht="15" customHeight="1">
      <c r="A135" s="86"/>
      <c r="C135" s="87" t="s">
        <v>1126</v>
      </c>
      <c r="I135" s="87" t="s">
        <v>368</v>
      </c>
      <c r="K135" s="88">
        <v>0.21312</v>
      </c>
      <c r="M135" s="89"/>
    </row>
    <row r="136" spans="1:13" ht="15" customHeight="1">
      <c r="A136" s="86"/>
      <c r="C136" s="87" t="s">
        <v>1127</v>
      </c>
      <c r="I136" s="87" t="s">
        <v>49</v>
      </c>
      <c r="K136" s="88">
        <v>0.010660000000000001</v>
      </c>
      <c r="M136" s="89"/>
    </row>
    <row r="137" spans="1:13" ht="13.5" customHeight="1">
      <c r="A137" s="86"/>
      <c r="B137" s="90" t="s">
        <v>60</v>
      </c>
      <c r="C137" s="161" t="s">
        <v>379</v>
      </c>
      <c r="D137" s="162"/>
      <c r="E137" s="162"/>
      <c r="F137" s="162"/>
      <c r="G137" s="162"/>
      <c r="H137" s="162"/>
      <c r="I137" s="162"/>
      <c r="J137" s="162"/>
      <c r="K137" s="162"/>
      <c r="L137" s="162"/>
      <c r="M137" s="163"/>
    </row>
    <row r="138" spans="1:64" ht="15" customHeight="1">
      <c r="A138" s="65" t="s">
        <v>281</v>
      </c>
      <c r="B138" s="66" t="s">
        <v>381</v>
      </c>
      <c r="C138" s="150" t="s">
        <v>382</v>
      </c>
      <c r="D138" s="150"/>
      <c r="E138" s="150"/>
      <c r="F138" s="150"/>
      <c r="G138" s="150"/>
      <c r="H138" s="150"/>
      <c r="I138" s="150"/>
      <c r="J138" s="66" t="s">
        <v>226</v>
      </c>
      <c r="K138" s="83">
        <v>7.5</v>
      </c>
      <c r="L138" s="108"/>
      <c r="M138" s="84">
        <f>K138*L138</f>
        <v>0</v>
      </c>
      <c r="Z138" s="83">
        <f>IF(AQ138="5",BJ138,0)</f>
        <v>0</v>
      </c>
      <c r="AB138" s="83">
        <f>IF(AQ138="1",BH138,0)</f>
        <v>0</v>
      </c>
      <c r="AC138" s="83">
        <f>IF(AQ138="1",BI138,0)</f>
        <v>0</v>
      </c>
      <c r="AD138" s="83">
        <f>IF(AQ138="7",BH138,0)</f>
        <v>0</v>
      </c>
      <c r="AE138" s="83">
        <f>IF(AQ138="7",BI138,0)</f>
        <v>0</v>
      </c>
      <c r="AF138" s="83">
        <f>IF(AQ138="2",BH138,0)</f>
        <v>0</v>
      </c>
      <c r="AG138" s="83">
        <f>IF(AQ138="2",BI138,0)</f>
        <v>0</v>
      </c>
      <c r="AH138" s="83">
        <f>IF(AQ138="0",BJ138,0)</f>
        <v>0</v>
      </c>
      <c r="AI138" s="72" t="s">
        <v>49</v>
      </c>
      <c r="AJ138" s="83">
        <f>IF(AN138=0,M138,0)</f>
        <v>0</v>
      </c>
      <c r="AK138" s="83">
        <f>IF(AN138=15,M138,0)</f>
        <v>0</v>
      </c>
      <c r="AL138" s="83">
        <f>IF(AN138=21,M138,0)</f>
        <v>0</v>
      </c>
      <c r="AN138" s="83">
        <v>21</v>
      </c>
      <c r="AO138" s="83">
        <f>L138*0.914303112313938</f>
        <v>0</v>
      </c>
      <c r="AP138" s="83">
        <f>L138*(1-0.914303112313938)</f>
        <v>0</v>
      </c>
      <c r="AQ138" s="85" t="s">
        <v>52</v>
      </c>
      <c r="AV138" s="83">
        <f>AW138+AX138</f>
        <v>0</v>
      </c>
      <c r="AW138" s="83">
        <f>K138*AO138</f>
        <v>0</v>
      </c>
      <c r="AX138" s="83">
        <f>K138*AP138</f>
        <v>0</v>
      </c>
      <c r="AY138" s="85" t="s">
        <v>366</v>
      </c>
      <c r="AZ138" s="85" t="s">
        <v>344</v>
      </c>
      <c r="BA138" s="72" t="s">
        <v>58</v>
      </c>
      <c r="BC138" s="83">
        <f>AW138+AX138</f>
        <v>0</v>
      </c>
      <c r="BD138" s="83">
        <f>L138/(100-BE138)*100</f>
        <v>0</v>
      </c>
      <c r="BE138" s="83">
        <v>0</v>
      </c>
      <c r="BF138" s="83">
        <f>138</f>
        <v>138</v>
      </c>
      <c r="BH138" s="83">
        <f>K138*AO138</f>
        <v>0</v>
      </c>
      <c r="BI138" s="83">
        <f>K138*AP138</f>
        <v>0</v>
      </c>
      <c r="BJ138" s="83">
        <f>K138*L138</f>
        <v>0</v>
      </c>
      <c r="BK138" s="83"/>
      <c r="BL138" s="83">
        <v>27</v>
      </c>
    </row>
    <row r="139" spans="1:13" ht="15" customHeight="1">
      <c r="A139" s="86"/>
      <c r="C139" s="87" t="s">
        <v>783</v>
      </c>
      <c r="I139" s="87" t="s">
        <v>383</v>
      </c>
      <c r="K139" s="88">
        <v>7.500000000000001</v>
      </c>
      <c r="M139" s="89"/>
    </row>
    <row r="140" spans="1:13" ht="27" customHeight="1">
      <c r="A140" s="86"/>
      <c r="B140" s="90" t="s">
        <v>60</v>
      </c>
      <c r="C140" s="161" t="s">
        <v>369</v>
      </c>
      <c r="D140" s="162"/>
      <c r="E140" s="162"/>
      <c r="F140" s="162"/>
      <c r="G140" s="162"/>
      <c r="H140" s="162"/>
      <c r="I140" s="162"/>
      <c r="J140" s="162"/>
      <c r="K140" s="162"/>
      <c r="L140" s="162"/>
      <c r="M140" s="163"/>
    </row>
    <row r="141" spans="1:64" ht="15" customHeight="1">
      <c r="A141" s="65" t="s">
        <v>284</v>
      </c>
      <c r="B141" s="66" t="s">
        <v>385</v>
      </c>
      <c r="C141" s="150" t="s">
        <v>386</v>
      </c>
      <c r="D141" s="150"/>
      <c r="E141" s="150"/>
      <c r="F141" s="150"/>
      <c r="G141" s="150"/>
      <c r="H141" s="150"/>
      <c r="I141" s="150"/>
      <c r="J141" s="66" t="s">
        <v>79</v>
      </c>
      <c r="K141" s="83">
        <v>16</v>
      </c>
      <c r="L141" s="108"/>
      <c r="M141" s="84">
        <f>K141*L141</f>
        <v>0</v>
      </c>
      <c r="Z141" s="83">
        <f>IF(AQ141="5",BJ141,0)</f>
        <v>0</v>
      </c>
      <c r="AB141" s="83">
        <f>IF(AQ141="1",BH141,0)</f>
        <v>0</v>
      </c>
      <c r="AC141" s="83">
        <f>IF(AQ141="1",BI141,0)</f>
        <v>0</v>
      </c>
      <c r="AD141" s="83">
        <f>IF(AQ141="7",BH141,0)</f>
        <v>0</v>
      </c>
      <c r="AE141" s="83">
        <f>IF(AQ141="7",BI141,0)</f>
        <v>0</v>
      </c>
      <c r="AF141" s="83">
        <f>IF(AQ141="2",BH141,0)</f>
        <v>0</v>
      </c>
      <c r="AG141" s="83">
        <f>IF(AQ141="2",BI141,0)</f>
        <v>0</v>
      </c>
      <c r="AH141" s="83">
        <f>IF(AQ141="0",BJ141,0)</f>
        <v>0</v>
      </c>
      <c r="AI141" s="72" t="s">
        <v>49</v>
      </c>
      <c r="AJ141" s="83">
        <f>IF(AN141=0,M141,0)</f>
        <v>0</v>
      </c>
      <c r="AK141" s="83">
        <f>IF(AN141=15,M141,0)</f>
        <v>0</v>
      </c>
      <c r="AL141" s="83">
        <f>IF(AN141=21,M141,0)</f>
        <v>0</v>
      </c>
      <c r="AN141" s="83">
        <v>21</v>
      </c>
      <c r="AO141" s="83">
        <f>L141*0.638715170278638</f>
        <v>0</v>
      </c>
      <c r="AP141" s="83">
        <f>L141*(1-0.638715170278638)</f>
        <v>0</v>
      </c>
      <c r="AQ141" s="85" t="s">
        <v>52</v>
      </c>
      <c r="AV141" s="83">
        <f>AW141+AX141</f>
        <v>0</v>
      </c>
      <c r="AW141" s="83">
        <f>K141*AO141</f>
        <v>0</v>
      </c>
      <c r="AX141" s="83">
        <f>K141*AP141</f>
        <v>0</v>
      </c>
      <c r="AY141" s="85" t="s">
        <v>366</v>
      </c>
      <c r="AZ141" s="85" t="s">
        <v>344</v>
      </c>
      <c r="BA141" s="72" t="s">
        <v>58</v>
      </c>
      <c r="BC141" s="83">
        <f>AW141+AX141</f>
        <v>0</v>
      </c>
      <c r="BD141" s="83">
        <f>L141/(100-BE141)*100</f>
        <v>0</v>
      </c>
      <c r="BE141" s="83">
        <v>0</v>
      </c>
      <c r="BF141" s="83">
        <f>141</f>
        <v>141</v>
      </c>
      <c r="BH141" s="83">
        <f>K141*AO141</f>
        <v>0</v>
      </c>
      <c r="BI141" s="83">
        <f>K141*AP141</f>
        <v>0</v>
      </c>
      <c r="BJ141" s="83">
        <f>K141*L141</f>
        <v>0</v>
      </c>
      <c r="BK141" s="83"/>
      <c r="BL141" s="83">
        <v>27</v>
      </c>
    </row>
    <row r="142" spans="1:13" ht="13.5" customHeight="1">
      <c r="A142" s="86"/>
      <c r="B142" s="90" t="s">
        <v>273</v>
      </c>
      <c r="C142" s="161" t="s">
        <v>387</v>
      </c>
      <c r="D142" s="162"/>
      <c r="E142" s="162"/>
      <c r="F142" s="162"/>
      <c r="G142" s="162"/>
      <c r="H142" s="162"/>
      <c r="I142" s="162"/>
      <c r="J142" s="162"/>
      <c r="K142" s="162"/>
      <c r="L142" s="162"/>
      <c r="M142" s="163"/>
    </row>
    <row r="143" spans="1:13" ht="15" customHeight="1">
      <c r="A143" s="86"/>
      <c r="C143" s="87" t="s">
        <v>151</v>
      </c>
      <c r="I143" s="87" t="s">
        <v>368</v>
      </c>
      <c r="K143" s="88">
        <v>16</v>
      </c>
      <c r="M143" s="89"/>
    </row>
    <row r="144" spans="1:64" ht="15" customHeight="1">
      <c r="A144" s="65" t="s">
        <v>287</v>
      </c>
      <c r="B144" s="66" t="s">
        <v>389</v>
      </c>
      <c r="C144" s="150" t="s">
        <v>390</v>
      </c>
      <c r="D144" s="150"/>
      <c r="E144" s="150"/>
      <c r="F144" s="150"/>
      <c r="G144" s="150"/>
      <c r="H144" s="150"/>
      <c r="I144" s="150"/>
      <c r="J144" s="66" t="s">
        <v>79</v>
      </c>
      <c r="K144" s="83">
        <v>16</v>
      </c>
      <c r="L144" s="108"/>
      <c r="M144" s="84">
        <f>K144*L144</f>
        <v>0</v>
      </c>
      <c r="Z144" s="83">
        <f>IF(AQ144="5",BJ144,0)</f>
        <v>0</v>
      </c>
      <c r="AB144" s="83">
        <f>IF(AQ144="1",BH144,0)</f>
        <v>0</v>
      </c>
      <c r="AC144" s="83">
        <f>IF(AQ144="1",BI144,0)</f>
        <v>0</v>
      </c>
      <c r="AD144" s="83">
        <f>IF(AQ144="7",BH144,0)</f>
        <v>0</v>
      </c>
      <c r="AE144" s="83">
        <f>IF(AQ144="7",BI144,0)</f>
        <v>0</v>
      </c>
      <c r="AF144" s="83">
        <f>IF(AQ144="2",BH144,0)</f>
        <v>0</v>
      </c>
      <c r="AG144" s="83">
        <f>IF(AQ144="2",BI144,0)</f>
        <v>0</v>
      </c>
      <c r="AH144" s="83">
        <f>IF(AQ144="0",BJ144,0)</f>
        <v>0</v>
      </c>
      <c r="AI144" s="72" t="s">
        <v>49</v>
      </c>
      <c r="AJ144" s="83">
        <f>IF(AN144=0,M144,0)</f>
        <v>0</v>
      </c>
      <c r="AK144" s="83">
        <f>IF(AN144=15,M144,0)</f>
        <v>0</v>
      </c>
      <c r="AL144" s="83">
        <f>IF(AN144=21,M144,0)</f>
        <v>0</v>
      </c>
      <c r="AN144" s="83">
        <v>21</v>
      </c>
      <c r="AO144" s="83">
        <f>L144*0</f>
        <v>0</v>
      </c>
      <c r="AP144" s="83">
        <f>L144*(1-0)</f>
        <v>0</v>
      </c>
      <c r="AQ144" s="85" t="s">
        <v>52</v>
      </c>
      <c r="AV144" s="83">
        <f>AW144+AX144</f>
        <v>0</v>
      </c>
      <c r="AW144" s="83">
        <f>K144*AO144</f>
        <v>0</v>
      </c>
      <c r="AX144" s="83">
        <f>K144*AP144</f>
        <v>0</v>
      </c>
      <c r="AY144" s="85" t="s">
        <v>366</v>
      </c>
      <c r="AZ144" s="85" t="s">
        <v>344</v>
      </c>
      <c r="BA144" s="72" t="s">
        <v>58</v>
      </c>
      <c r="BC144" s="83">
        <f>AW144+AX144</f>
        <v>0</v>
      </c>
      <c r="BD144" s="83">
        <f>L144/(100-BE144)*100</f>
        <v>0</v>
      </c>
      <c r="BE144" s="83">
        <v>0</v>
      </c>
      <c r="BF144" s="83">
        <f>144</f>
        <v>144</v>
      </c>
      <c r="BH144" s="83">
        <f>K144*AO144</f>
        <v>0</v>
      </c>
      <c r="BI144" s="83">
        <f>K144*AP144</f>
        <v>0</v>
      </c>
      <c r="BJ144" s="83">
        <f>K144*L144</f>
        <v>0</v>
      </c>
      <c r="BK144" s="83"/>
      <c r="BL144" s="83">
        <v>27</v>
      </c>
    </row>
    <row r="145" spans="1:13" ht="15" customHeight="1">
      <c r="A145" s="86"/>
      <c r="C145" s="87" t="s">
        <v>151</v>
      </c>
      <c r="I145" s="87" t="s">
        <v>49</v>
      </c>
      <c r="K145" s="88">
        <v>16</v>
      </c>
      <c r="M145" s="89"/>
    </row>
    <row r="146" spans="1:64" ht="15" customHeight="1">
      <c r="A146" s="65" t="s">
        <v>290</v>
      </c>
      <c r="B146" s="66" t="s">
        <v>392</v>
      </c>
      <c r="C146" s="150" t="s">
        <v>393</v>
      </c>
      <c r="D146" s="150"/>
      <c r="E146" s="150"/>
      <c r="F146" s="150"/>
      <c r="G146" s="150"/>
      <c r="H146" s="150"/>
      <c r="I146" s="150"/>
      <c r="J146" s="66" t="s">
        <v>79</v>
      </c>
      <c r="K146" s="83">
        <v>30</v>
      </c>
      <c r="L146" s="108"/>
      <c r="M146" s="84">
        <f>K146*L146</f>
        <v>0</v>
      </c>
      <c r="Z146" s="83">
        <f>IF(AQ146="5",BJ146,0)</f>
        <v>0</v>
      </c>
      <c r="AB146" s="83">
        <f>IF(AQ146="1",BH146,0)</f>
        <v>0</v>
      </c>
      <c r="AC146" s="83">
        <f>IF(AQ146="1",BI146,0)</f>
        <v>0</v>
      </c>
      <c r="AD146" s="83">
        <f>IF(AQ146="7",BH146,0)</f>
        <v>0</v>
      </c>
      <c r="AE146" s="83">
        <f>IF(AQ146="7",BI146,0)</f>
        <v>0</v>
      </c>
      <c r="AF146" s="83">
        <f>IF(AQ146="2",BH146,0)</f>
        <v>0</v>
      </c>
      <c r="AG146" s="83">
        <f>IF(AQ146="2",BI146,0)</f>
        <v>0</v>
      </c>
      <c r="AH146" s="83">
        <f>IF(AQ146="0",BJ146,0)</f>
        <v>0</v>
      </c>
      <c r="AI146" s="72" t="s">
        <v>49</v>
      </c>
      <c r="AJ146" s="83">
        <f>IF(AN146=0,M146,0)</f>
        <v>0</v>
      </c>
      <c r="AK146" s="83">
        <f>IF(AN146=15,M146,0)</f>
        <v>0</v>
      </c>
      <c r="AL146" s="83">
        <f>IF(AN146=21,M146,0)</f>
        <v>0</v>
      </c>
      <c r="AN146" s="83">
        <v>21</v>
      </c>
      <c r="AO146" s="83">
        <f>L146*0.637593167701863</f>
        <v>0</v>
      </c>
      <c r="AP146" s="83">
        <f>L146*(1-0.637593167701863)</f>
        <v>0</v>
      </c>
      <c r="AQ146" s="85" t="s">
        <v>52</v>
      </c>
      <c r="AV146" s="83">
        <f>AW146+AX146</f>
        <v>0</v>
      </c>
      <c r="AW146" s="83">
        <f>K146*AO146</f>
        <v>0</v>
      </c>
      <c r="AX146" s="83">
        <f>K146*AP146</f>
        <v>0</v>
      </c>
      <c r="AY146" s="85" t="s">
        <v>366</v>
      </c>
      <c r="AZ146" s="85" t="s">
        <v>344</v>
      </c>
      <c r="BA146" s="72" t="s">
        <v>58</v>
      </c>
      <c r="BC146" s="83">
        <f>AW146+AX146</f>
        <v>0</v>
      </c>
      <c r="BD146" s="83">
        <f>L146/(100-BE146)*100</f>
        <v>0</v>
      </c>
      <c r="BE146" s="83">
        <v>0</v>
      </c>
      <c r="BF146" s="83">
        <f>146</f>
        <v>146</v>
      </c>
      <c r="BH146" s="83">
        <f>K146*AO146</f>
        <v>0</v>
      </c>
      <c r="BI146" s="83">
        <f>K146*AP146</f>
        <v>0</v>
      </c>
      <c r="BJ146" s="83">
        <f>K146*L146</f>
        <v>0</v>
      </c>
      <c r="BK146" s="83"/>
      <c r="BL146" s="83">
        <v>27</v>
      </c>
    </row>
    <row r="147" spans="1:13" ht="13.5" customHeight="1">
      <c r="A147" s="86"/>
      <c r="B147" s="90" t="s">
        <v>273</v>
      </c>
      <c r="C147" s="161" t="s">
        <v>387</v>
      </c>
      <c r="D147" s="162"/>
      <c r="E147" s="162"/>
      <c r="F147" s="162"/>
      <c r="G147" s="162"/>
      <c r="H147" s="162"/>
      <c r="I147" s="162"/>
      <c r="J147" s="162"/>
      <c r="K147" s="162"/>
      <c r="L147" s="162"/>
      <c r="M147" s="163"/>
    </row>
    <row r="148" spans="1:13" ht="15" customHeight="1">
      <c r="A148" s="86"/>
      <c r="C148" s="87" t="s">
        <v>234</v>
      </c>
      <c r="I148" s="87" t="s">
        <v>368</v>
      </c>
      <c r="K148" s="88">
        <v>30.000000000000004</v>
      </c>
      <c r="M148" s="89"/>
    </row>
    <row r="149" spans="1:64" ht="15" customHeight="1">
      <c r="A149" s="65" t="s">
        <v>294</v>
      </c>
      <c r="B149" s="66" t="s">
        <v>395</v>
      </c>
      <c r="C149" s="150" t="s">
        <v>396</v>
      </c>
      <c r="D149" s="150"/>
      <c r="E149" s="150"/>
      <c r="F149" s="150"/>
      <c r="G149" s="150"/>
      <c r="H149" s="150"/>
      <c r="I149" s="150"/>
      <c r="J149" s="66" t="s">
        <v>79</v>
      </c>
      <c r="K149" s="83">
        <v>30</v>
      </c>
      <c r="L149" s="108"/>
      <c r="M149" s="84">
        <f>K149*L149</f>
        <v>0</v>
      </c>
      <c r="Z149" s="83">
        <f>IF(AQ149="5",BJ149,0)</f>
        <v>0</v>
      </c>
      <c r="AB149" s="83">
        <f>IF(AQ149="1",BH149,0)</f>
        <v>0</v>
      </c>
      <c r="AC149" s="83">
        <f>IF(AQ149="1",BI149,0)</f>
        <v>0</v>
      </c>
      <c r="AD149" s="83">
        <f>IF(AQ149="7",BH149,0)</f>
        <v>0</v>
      </c>
      <c r="AE149" s="83">
        <f>IF(AQ149="7",BI149,0)</f>
        <v>0</v>
      </c>
      <c r="AF149" s="83">
        <f>IF(AQ149="2",BH149,0)</f>
        <v>0</v>
      </c>
      <c r="AG149" s="83">
        <f>IF(AQ149="2",BI149,0)</f>
        <v>0</v>
      </c>
      <c r="AH149" s="83">
        <f>IF(AQ149="0",BJ149,0)</f>
        <v>0</v>
      </c>
      <c r="AI149" s="72" t="s">
        <v>49</v>
      </c>
      <c r="AJ149" s="83">
        <f>IF(AN149=0,M149,0)</f>
        <v>0</v>
      </c>
      <c r="AK149" s="83">
        <f>IF(AN149=15,M149,0)</f>
        <v>0</v>
      </c>
      <c r="AL149" s="83">
        <f>IF(AN149=21,M149,0)</f>
        <v>0</v>
      </c>
      <c r="AN149" s="83">
        <v>21</v>
      </c>
      <c r="AO149" s="83">
        <f>L149*0</f>
        <v>0</v>
      </c>
      <c r="AP149" s="83">
        <f>L149*(1-0)</f>
        <v>0</v>
      </c>
      <c r="AQ149" s="85" t="s">
        <v>52</v>
      </c>
      <c r="AV149" s="83">
        <f>AW149+AX149</f>
        <v>0</v>
      </c>
      <c r="AW149" s="83">
        <f>K149*AO149</f>
        <v>0</v>
      </c>
      <c r="AX149" s="83">
        <f>K149*AP149</f>
        <v>0</v>
      </c>
      <c r="AY149" s="85" t="s">
        <v>366</v>
      </c>
      <c r="AZ149" s="85" t="s">
        <v>344</v>
      </c>
      <c r="BA149" s="72" t="s">
        <v>58</v>
      </c>
      <c r="BC149" s="83">
        <f>AW149+AX149</f>
        <v>0</v>
      </c>
      <c r="BD149" s="83">
        <f>L149/(100-BE149)*100</f>
        <v>0</v>
      </c>
      <c r="BE149" s="83">
        <v>0</v>
      </c>
      <c r="BF149" s="83">
        <f>149</f>
        <v>149</v>
      </c>
      <c r="BH149" s="83">
        <f>K149*AO149</f>
        <v>0</v>
      </c>
      <c r="BI149" s="83">
        <f>K149*AP149</f>
        <v>0</v>
      </c>
      <c r="BJ149" s="83">
        <f>K149*L149</f>
        <v>0</v>
      </c>
      <c r="BK149" s="83"/>
      <c r="BL149" s="83">
        <v>27</v>
      </c>
    </row>
    <row r="150" spans="1:13" ht="15" customHeight="1">
      <c r="A150" s="86"/>
      <c r="C150" s="87" t="s">
        <v>234</v>
      </c>
      <c r="I150" s="87" t="s">
        <v>49</v>
      </c>
      <c r="K150" s="88">
        <v>30.000000000000004</v>
      </c>
      <c r="M150" s="89"/>
    </row>
    <row r="151" spans="1:64" ht="15" customHeight="1">
      <c r="A151" s="65" t="s">
        <v>297</v>
      </c>
      <c r="B151" s="66" t="s">
        <v>398</v>
      </c>
      <c r="C151" s="150" t="s">
        <v>399</v>
      </c>
      <c r="D151" s="150"/>
      <c r="E151" s="150"/>
      <c r="F151" s="150"/>
      <c r="G151" s="150"/>
      <c r="H151" s="150"/>
      <c r="I151" s="150"/>
      <c r="J151" s="66" t="s">
        <v>226</v>
      </c>
      <c r="K151" s="83">
        <v>1.225</v>
      </c>
      <c r="L151" s="108"/>
      <c r="M151" s="84">
        <f>K151*L151</f>
        <v>0</v>
      </c>
      <c r="Z151" s="83">
        <f>IF(AQ151="5",BJ151,0)</f>
        <v>0</v>
      </c>
      <c r="AB151" s="83">
        <f>IF(AQ151="1",BH151,0)</f>
        <v>0</v>
      </c>
      <c r="AC151" s="83">
        <f>IF(AQ151="1",BI151,0)</f>
        <v>0</v>
      </c>
      <c r="AD151" s="83">
        <f>IF(AQ151="7",BH151,0)</f>
        <v>0</v>
      </c>
      <c r="AE151" s="83">
        <f>IF(AQ151="7",BI151,0)</f>
        <v>0</v>
      </c>
      <c r="AF151" s="83">
        <f>IF(AQ151="2",BH151,0)</f>
        <v>0</v>
      </c>
      <c r="AG151" s="83">
        <f>IF(AQ151="2",BI151,0)</f>
        <v>0</v>
      </c>
      <c r="AH151" s="83">
        <f>IF(AQ151="0",BJ151,0)</f>
        <v>0</v>
      </c>
      <c r="AI151" s="72" t="s">
        <v>49</v>
      </c>
      <c r="AJ151" s="83">
        <f>IF(AN151=0,M151,0)</f>
        <v>0</v>
      </c>
      <c r="AK151" s="83">
        <f>IF(AN151=15,M151,0)</f>
        <v>0</v>
      </c>
      <c r="AL151" s="83">
        <f>IF(AN151=21,M151,0)</f>
        <v>0</v>
      </c>
      <c r="AN151" s="83">
        <v>21</v>
      </c>
      <c r="AO151" s="83">
        <f>L151*0.581298076923077</f>
        <v>0</v>
      </c>
      <c r="AP151" s="83">
        <f>L151*(1-0.581298076923077)</f>
        <v>0</v>
      </c>
      <c r="AQ151" s="85" t="s">
        <v>52</v>
      </c>
      <c r="AV151" s="83">
        <f>AW151+AX151</f>
        <v>0</v>
      </c>
      <c r="AW151" s="83">
        <f>K151*AO151</f>
        <v>0</v>
      </c>
      <c r="AX151" s="83">
        <f>K151*AP151</f>
        <v>0</v>
      </c>
      <c r="AY151" s="85" t="s">
        <v>366</v>
      </c>
      <c r="AZ151" s="85" t="s">
        <v>344</v>
      </c>
      <c r="BA151" s="72" t="s">
        <v>58</v>
      </c>
      <c r="BC151" s="83">
        <f>AW151+AX151</f>
        <v>0</v>
      </c>
      <c r="BD151" s="83">
        <f>L151/(100-BE151)*100</f>
        <v>0</v>
      </c>
      <c r="BE151" s="83">
        <v>0</v>
      </c>
      <c r="BF151" s="83">
        <f>151</f>
        <v>151</v>
      </c>
      <c r="BH151" s="83">
        <f>K151*AO151</f>
        <v>0</v>
      </c>
      <c r="BI151" s="83">
        <f>K151*AP151</f>
        <v>0</v>
      </c>
      <c r="BJ151" s="83">
        <f>K151*L151</f>
        <v>0</v>
      </c>
      <c r="BK151" s="83"/>
      <c r="BL151" s="83">
        <v>27</v>
      </c>
    </row>
    <row r="152" spans="1:13" ht="15" customHeight="1">
      <c r="A152" s="86"/>
      <c r="C152" s="87" t="s">
        <v>52</v>
      </c>
      <c r="I152" s="87" t="s">
        <v>401</v>
      </c>
      <c r="K152" s="88">
        <v>1</v>
      </c>
      <c r="M152" s="89"/>
    </row>
    <row r="153" spans="1:13" ht="15" customHeight="1">
      <c r="A153" s="86"/>
      <c r="C153" s="87" t="s">
        <v>1128</v>
      </c>
      <c r="I153" s="87" t="s">
        <v>1129</v>
      </c>
      <c r="K153" s="88">
        <v>0.225</v>
      </c>
      <c r="M153" s="89"/>
    </row>
    <row r="154" spans="1:64" ht="15" customHeight="1">
      <c r="A154" s="65" t="s">
        <v>302</v>
      </c>
      <c r="B154" s="66" t="s">
        <v>407</v>
      </c>
      <c r="C154" s="150" t="s">
        <v>408</v>
      </c>
      <c r="D154" s="150"/>
      <c r="E154" s="150"/>
      <c r="F154" s="150"/>
      <c r="G154" s="150"/>
      <c r="H154" s="150"/>
      <c r="I154" s="150"/>
      <c r="J154" s="66" t="s">
        <v>226</v>
      </c>
      <c r="K154" s="83">
        <v>0.0735</v>
      </c>
      <c r="L154" s="108"/>
      <c r="M154" s="84">
        <f>K154*L154</f>
        <v>0</v>
      </c>
      <c r="Z154" s="83">
        <f>IF(AQ154="5",BJ154,0)</f>
        <v>0</v>
      </c>
      <c r="AB154" s="83">
        <f>IF(AQ154="1",BH154,0)</f>
        <v>0</v>
      </c>
      <c r="AC154" s="83">
        <f>IF(AQ154="1",BI154,0)</f>
        <v>0</v>
      </c>
      <c r="AD154" s="83">
        <f>IF(AQ154="7",BH154,0)</f>
        <v>0</v>
      </c>
      <c r="AE154" s="83">
        <f>IF(AQ154="7",BI154,0)</f>
        <v>0</v>
      </c>
      <c r="AF154" s="83">
        <f>IF(AQ154="2",BH154,0)</f>
        <v>0</v>
      </c>
      <c r="AG154" s="83">
        <f>IF(AQ154="2",BI154,0)</f>
        <v>0</v>
      </c>
      <c r="AH154" s="83">
        <f>IF(AQ154="0",BJ154,0)</f>
        <v>0</v>
      </c>
      <c r="AI154" s="72" t="s">
        <v>49</v>
      </c>
      <c r="AJ154" s="83">
        <f>IF(AN154=0,M154,0)</f>
        <v>0</v>
      </c>
      <c r="AK154" s="83">
        <f>IF(AN154=15,M154,0)</f>
        <v>0</v>
      </c>
      <c r="AL154" s="83">
        <f>IF(AN154=21,M154,0)</f>
        <v>0</v>
      </c>
      <c r="AN154" s="83">
        <v>21</v>
      </c>
      <c r="AO154" s="83">
        <f>L154*0.898048641638825</f>
        <v>0</v>
      </c>
      <c r="AP154" s="83">
        <f>L154*(1-0.898048641638825)</f>
        <v>0</v>
      </c>
      <c r="AQ154" s="85" t="s">
        <v>52</v>
      </c>
      <c r="AV154" s="83">
        <f>AW154+AX154</f>
        <v>0</v>
      </c>
      <c r="AW154" s="83">
        <f>K154*AO154</f>
        <v>0</v>
      </c>
      <c r="AX154" s="83">
        <f>K154*AP154</f>
        <v>0</v>
      </c>
      <c r="AY154" s="85" t="s">
        <v>366</v>
      </c>
      <c r="AZ154" s="85" t="s">
        <v>344</v>
      </c>
      <c r="BA154" s="72" t="s">
        <v>58</v>
      </c>
      <c r="BC154" s="83">
        <f>AW154+AX154</f>
        <v>0</v>
      </c>
      <c r="BD154" s="83">
        <f>L154/(100-BE154)*100</f>
        <v>0</v>
      </c>
      <c r="BE154" s="83">
        <v>0</v>
      </c>
      <c r="BF154" s="83">
        <f>154</f>
        <v>154</v>
      </c>
      <c r="BH154" s="83">
        <f>K154*AO154</f>
        <v>0</v>
      </c>
      <c r="BI154" s="83">
        <f>K154*AP154</f>
        <v>0</v>
      </c>
      <c r="BJ154" s="83">
        <f>K154*L154</f>
        <v>0</v>
      </c>
      <c r="BK154" s="83"/>
      <c r="BL154" s="83">
        <v>27</v>
      </c>
    </row>
    <row r="155" spans="1:13" ht="15" customHeight="1">
      <c r="A155" s="86"/>
      <c r="C155" s="87" t="s">
        <v>1130</v>
      </c>
      <c r="I155" s="87" t="s">
        <v>420</v>
      </c>
      <c r="K155" s="88">
        <v>0.07350000000000001</v>
      </c>
      <c r="M155" s="89"/>
    </row>
    <row r="156" spans="1:13" ht="27" customHeight="1">
      <c r="A156" s="86"/>
      <c r="B156" s="90" t="s">
        <v>60</v>
      </c>
      <c r="C156" s="161" t="s">
        <v>421</v>
      </c>
      <c r="D156" s="162"/>
      <c r="E156" s="162"/>
      <c r="F156" s="162"/>
      <c r="G156" s="162"/>
      <c r="H156" s="162"/>
      <c r="I156" s="162"/>
      <c r="J156" s="162"/>
      <c r="K156" s="162"/>
      <c r="L156" s="162"/>
      <c r="M156" s="163"/>
    </row>
    <row r="157" spans="1:64" ht="15" customHeight="1">
      <c r="A157" s="65" t="s">
        <v>307</v>
      </c>
      <c r="B157" s="66" t="s">
        <v>1131</v>
      </c>
      <c r="C157" s="150" t="s">
        <v>1132</v>
      </c>
      <c r="D157" s="150"/>
      <c r="E157" s="150"/>
      <c r="F157" s="150"/>
      <c r="G157" s="150"/>
      <c r="H157" s="150"/>
      <c r="I157" s="150"/>
      <c r="J157" s="66" t="s">
        <v>226</v>
      </c>
      <c r="K157" s="83">
        <v>2.45</v>
      </c>
      <c r="L157" s="108"/>
      <c r="M157" s="84">
        <f>K157*L157</f>
        <v>0</v>
      </c>
      <c r="Z157" s="83">
        <f>IF(AQ157="5",BJ157,0)</f>
        <v>0</v>
      </c>
      <c r="AB157" s="83">
        <f>IF(AQ157="1",BH157,0)</f>
        <v>0</v>
      </c>
      <c r="AC157" s="83">
        <f>IF(AQ157="1",BI157,0)</f>
        <v>0</v>
      </c>
      <c r="AD157" s="83">
        <f>IF(AQ157="7",BH157,0)</f>
        <v>0</v>
      </c>
      <c r="AE157" s="83">
        <f>IF(AQ157="7",BI157,0)</f>
        <v>0</v>
      </c>
      <c r="AF157" s="83">
        <f>IF(AQ157="2",BH157,0)</f>
        <v>0</v>
      </c>
      <c r="AG157" s="83">
        <f>IF(AQ157="2",BI157,0)</f>
        <v>0</v>
      </c>
      <c r="AH157" s="83">
        <f>IF(AQ157="0",BJ157,0)</f>
        <v>0</v>
      </c>
      <c r="AI157" s="72" t="s">
        <v>49</v>
      </c>
      <c r="AJ157" s="83">
        <f>IF(AN157=0,M157,0)</f>
        <v>0</v>
      </c>
      <c r="AK157" s="83">
        <f>IF(AN157=15,M157,0)</f>
        <v>0</v>
      </c>
      <c r="AL157" s="83">
        <f>IF(AN157=21,M157,0)</f>
        <v>0</v>
      </c>
      <c r="AN157" s="83">
        <v>21</v>
      </c>
      <c r="AO157" s="83">
        <f>L157*0.914708792699851</f>
        <v>0</v>
      </c>
      <c r="AP157" s="83">
        <f>L157*(1-0.914708792699851)</f>
        <v>0</v>
      </c>
      <c r="AQ157" s="85" t="s">
        <v>52</v>
      </c>
      <c r="AV157" s="83">
        <f>AW157+AX157</f>
        <v>0</v>
      </c>
      <c r="AW157" s="83">
        <f>K157*AO157</f>
        <v>0</v>
      </c>
      <c r="AX157" s="83">
        <f>K157*AP157</f>
        <v>0</v>
      </c>
      <c r="AY157" s="85" t="s">
        <v>366</v>
      </c>
      <c r="AZ157" s="85" t="s">
        <v>344</v>
      </c>
      <c r="BA157" s="72" t="s">
        <v>58</v>
      </c>
      <c r="BC157" s="83">
        <f>AW157+AX157</f>
        <v>0</v>
      </c>
      <c r="BD157" s="83">
        <f>L157/(100-BE157)*100</f>
        <v>0</v>
      </c>
      <c r="BE157" s="83">
        <v>0</v>
      </c>
      <c r="BF157" s="83">
        <f>157</f>
        <v>157</v>
      </c>
      <c r="BH157" s="83">
        <f>K157*AO157</f>
        <v>0</v>
      </c>
      <c r="BI157" s="83">
        <f>K157*AP157</f>
        <v>0</v>
      </c>
      <c r="BJ157" s="83">
        <f>K157*L157</f>
        <v>0</v>
      </c>
      <c r="BK157" s="83"/>
      <c r="BL157" s="83">
        <v>27</v>
      </c>
    </row>
    <row r="158" spans="1:13" ht="15" customHeight="1">
      <c r="A158" s="86"/>
      <c r="C158" s="87" t="s">
        <v>1133</v>
      </c>
      <c r="I158" s="87" t="s">
        <v>1134</v>
      </c>
      <c r="K158" s="88">
        <v>2.45</v>
      </c>
      <c r="M158" s="89"/>
    </row>
    <row r="159" spans="1:13" ht="27" customHeight="1">
      <c r="A159" s="86"/>
      <c r="B159" s="90" t="s">
        <v>60</v>
      </c>
      <c r="C159" s="161" t="s">
        <v>1135</v>
      </c>
      <c r="D159" s="162"/>
      <c r="E159" s="162"/>
      <c r="F159" s="162"/>
      <c r="G159" s="162"/>
      <c r="H159" s="162"/>
      <c r="I159" s="162"/>
      <c r="J159" s="162"/>
      <c r="K159" s="162"/>
      <c r="L159" s="162"/>
      <c r="M159" s="163"/>
    </row>
    <row r="160" spans="1:64" ht="15" customHeight="1">
      <c r="A160" s="65" t="s">
        <v>316</v>
      </c>
      <c r="B160" s="66" t="s">
        <v>423</v>
      </c>
      <c r="C160" s="150" t="s">
        <v>424</v>
      </c>
      <c r="D160" s="150"/>
      <c r="E160" s="150"/>
      <c r="F160" s="150"/>
      <c r="G160" s="150"/>
      <c r="H160" s="150"/>
      <c r="I160" s="150"/>
      <c r="J160" s="66" t="s">
        <v>79</v>
      </c>
      <c r="K160" s="83">
        <v>7.64</v>
      </c>
      <c r="L160" s="108"/>
      <c r="M160" s="84">
        <f>K160*L160</f>
        <v>0</v>
      </c>
      <c r="Z160" s="83">
        <f>IF(AQ160="5",BJ160,0)</f>
        <v>0</v>
      </c>
      <c r="AB160" s="83">
        <f>IF(AQ160="1",BH160,0)</f>
        <v>0</v>
      </c>
      <c r="AC160" s="83">
        <f>IF(AQ160="1",BI160,0)</f>
        <v>0</v>
      </c>
      <c r="AD160" s="83">
        <f>IF(AQ160="7",BH160,0)</f>
        <v>0</v>
      </c>
      <c r="AE160" s="83">
        <f>IF(AQ160="7",BI160,0)</f>
        <v>0</v>
      </c>
      <c r="AF160" s="83">
        <f>IF(AQ160="2",BH160,0)</f>
        <v>0</v>
      </c>
      <c r="AG160" s="83">
        <f>IF(AQ160="2",BI160,0)</f>
        <v>0</v>
      </c>
      <c r="AH160" s="83">
        <f>IF(AQ160="0",BJ160,0)</f>
        <v>0</v>
      </c>
      <c r="AI160" s="72" t="s">
        <v>49</v>
      </c>
      <c r="AJ160" s="83">
        <f>IF(AN160=0,M160,0)</f>
        <v>0</v>
      </c>
      <c r="AK160" s="83">
        <f>IF(AN160=15,M160,0)</f>
        <v>0</v>
      </c>
      <c r="AL160" s="83">
        <f>IF(AN160=21,M160,0)</f>
        <v>0</v>
      </c>
      <c r="AN160" s="83">
        <v>21</v>
      </c>
      <c r="AO160" s="83">
        <f>L160*0.29144634525661</f>
        <v>0</v>
      </c>
      <c r="AP160" s="83">
        <f>L160*(1-0.29144634525661)</f>
        <v>0</v>
      </c>
      <c r="AQ160" s="85" t="s">
        <v>52</v>
      </c>
      <c r="AV160" s="83">
        <f>AW160+AX160</f>
        <v>0</v>
      </c>
      <c r="AW160" s="83">
        <f>K160*AO160</f>
        <v>0</v>
      </c>
      <c r="AX160" s="83">
        <f>K160*AP160</f>
        <v>0</v>
      </c>
      <c r="AY160" s="85" t="s">
        <v>366</v>
      </c>
      <c r="AZ160" s="85" t="s">
        <v>344</v>
      </c>
      <c r="BA160" s="72" t="s">
        <v>58</v>
      </c>
      <c r="BC160" s="83">
        <f>AW160+AX160</f>
        <v>0</v>
      </c>
      <c r="BD160" s="83">
        <f>L160/(100-BE160)*100</f>
        <v>0</v>
      </c>
      <c r="BE160" s="83">
        <v>0</v>
      </c>
      <c r="BF160" s="83">
        <f>160</f>
        <v>160</v>
      </c>
      <c r="BH160" s="83">
        <f>K160*AO160</f>
        <v>0</v>
      </c>
      <c r="BI160" s="83">
        <f>K160*AP160</f>
        <v>0</v>
      </c>
      <c r="BJ160" s="83">
        <f>K160*L160</f>
        <v>0</v>
      </c>
      <c r="BK160" s="83"/>
      <c r="BL160" s="83">
        <v>27</v>
      </c>
    </row>
    <row r="161" spans="1:13" ht="15" customHeight="1">
      <c r="A161" s="86"/>
      <c r="C161" s="87" t="s">
        <v>1136</v>
      </c>
      <c r="I161" s="87" t="s">
        <v>432</v>
      </c>
      <c r="K161" s="88">
        <v>0.8400000000000001</v>
      </c>
      <c r="M161" s="89"/>
    </row>
    <row r="162" spans="1:13" ht="15" customHeight="1">
      <c r="A162" s="86"/>
      <c r="C162" s="87" t="s">
        <v>1137</v>
      </c>
      <c r="I162" s="87" t="s">
        <v>1134</v>
      </c>
      <c r="K162" s="88">
        <v>6.800000000000001</v>
      </c>
      <c r="M162" s="89"/>
    </row>
    <row r="163" spans="1:64" ht="15" customHeight="1">
      <c r="A163" s="65" t="s">
        <v>320</v>
      </c>
      <c r="B163" s="66" t="s">
        <v>434</v>
      </c>
      <c r="C163" s="150" t="s">
        <v>435</v>
      </c>
      <c r="D163" s="150"/>
      <c r="E163" s="150"/>
      <c r="F163" s="150"/>
      <c r="G163" s="150"/>
      <c r="H163" s="150"/>
      <c r="I163" s="150"/>
      <c r="J163" s="66" t="s">
        <v>79</v>
      </c>
      <c r="K163" s="83">
        <v>7.64</v>
      </c>
      <c r="L163" s="108"/>
      <c r="M163" s="84">
        <f>K163*L163</f>
        <v>0</v>
      </c>
      <c r="Z163" s="83">
        <f>IF(AQ163="5",BJ163,0)</f>
        <v>0</v>
      </c>
      <c r="AB163" s="83">
        <f>IF(AQ163="1",BH163,0)</f>
        <v>0</v>
      </c>
      <c r="AC163" s="83">
        <f>IF(AQ163="1",BI163,0)</f>
        <v>0</v>
      </c>
      <c r="AD163" s="83">
        <f>IF(AQ163="7",BH163,0)</f>
        <v>0</v>
      </c>
      <c r="AE163" s="83">
        <f>IF(AQ163="7",BI163,0)</f>
        <v>0</v>
      </c>
      <c r="AF163" s="83">
        <f>IF(AQ163="2",BH163,0)</f>
        <v>0</v>
      </c>
      <c r="AG163" s="83">
        <f>IF(AQ163="2",BI163,0)</f>
        <v>0</v>
      </c>
      <c r="AH163" s="83">
        <f>IF(AQ163="0",BJ163,0)</f>
        <v>0</v>
      </c>
      <c r="AI163" s="72" t="s">
        <v>49</v>
      </c>
      <c r="AJ163" s="83">
        <f>IF(AN163=0,M163,0)</f>
        <v>0</v>
      </c>
      <c r="AK163" s="83">
        <f>IF(AN163=15,M163,0)</f>
        <v>0</v>
      </c>
      <c r="AL163" s="83">
        <f>IF(AN163=21,M163,0)</f>
        <v>0</v>
      </c>
      <c r="AN163" s="83">
        <v>21</v>
      </c>
      <c r="AO163" s="83">
        <f>L163*0</f>
        <v>0</v>
      </c>
      <c r="AP163" s="83">
        <f>L163*(1-0)</f>
        <v>0</v>
      </c>
      <c r="AQ163" s="85" t="s">
        <v>52</v>
      </c>
      <c r="AV163" s="83">
        <f>AW163+AX163</f>
        <v>0</v>
      </c>
      <c r="AW163" s="83">
        <f>K163*AO163</f>
        <v>0</v>
      </c>
      <c r="AX163" s="83">
        <f>K163*AP163</f>
        <v>0</v>
      </c>
      <c r="AY163" s="85" t="s">
        <v>366</v>
      </c>
      <c r="AZ163" s="85" t="s">
        <v>344</v>
      </c>
      <c r="BA163" s="72" t="s">
        <v>58</v>
      </c>
      <c r="BC163" s="83">
        <f>AW163+AX163</f>
        <v>0</v>
      </c>
      <c r="BD163" s="83">
        <f>L163/(100-BE163)*100</f>
        <v>0</v>
      </c>
      <c r="BE163" s="83">
        <v>0</v>
      </c>
      <c r="BF163" s="83">
        <f>163</f>
        <v>163</v>
      </c>
      <c r="BH163" s="83">
        <f>K163*AO163</f>
        <v>0</v>
      </c>
      <c r="BI163" s="83">
        <f>K163*AP163</f>
        <v>0</v>
      </c>
      <c r="BJ163" s="83">
        <f>K163*L163</f>
        <v>0</v>
      </c>
      <c r="BK163" s="83"/>
      <c r="BL163" s="83">
        <v>27</v>
      </c>
    </row>
    <row r="164" spans="1:13" ht="15" customHeight="1">
      <c r="A164" s="86"/>
      <c r="C164" s="87" t="s">
        <v>1138</v>
      </c>
      <c r="I164" s="87" t="s">
        <v>49</v>
      </c>
      <c r="K164" s="88">
        <v>7.640000000000001</v>
      </c>
      <c r="M164" s="89"/>
    </row>
    <row r="165" spans="1:47" ht="15" customHeight="1">
      <c r="A165" s="78" t="s">
        <v>49</v>
      </c>
      <c r="B165" s="79" t="s">
        <v>294</v>
      </c>
      <c r="C165" s="168" t="s">
        <v>478</v>
      </c>
      <c r="D165" s="168"/>
      <c r="E165" s="168"/>
      <c r="F165" s="168"/>
      <c r="G165" s="168"/>
      <c r="H165" s="168"/>
      <c r="I165" s="168"/>
      <c r="J165" s="80" t="s">
        <v>3</v>
      </c>
      <c r="K165" s="80" t="s">
        <v>3</v>
      </c>
      <c r="L165" s="80" t="s">
        <v>3</v>
      </c>
      <c r="M165" s="81">
        <f>SUM(M166:M173)</f>
        <v>0</v>
      </c>
      <c r="AI165" s="72" t="s">
        <v>49</v>
      </c>
      <c r="AS165" s="82">
        <f>SUM(AJ166:AJ173)</f>
        <v>0</v>
      </c>
      <c r="AT165" s="82">
        <f>SUM(AK166:AK173)</f>
        <v>0</v>
      </c>
      <c r="AU165" s="82">
        <f>SUM(AL166:AL173)</f>
        <v>0</v>
      </c>
    </row>
    <row r="166" spans="1:64" ht="15" customHeight="1">
      <c r="A166" s="65" t="s">
        <v>324</v>
      </c>
      <c r="B166" s="66" t="s">
        <v>480</v>
      </c>
      <c r="C166" s="150" t="s">
        <v>481</v>
      </c>
      <c r="D166" s="150"/>
      <c r="E166" s="150"/>
      <c r="F166" s="150"/>
      <c r="G166" s="150"/>
      <c r="H166" s="150"/>
      <c r="I166" s="150"/>
      <c r="J166" s="66" t="s">
        <v>191</v>
      </c>
      <c r="K166" s="83">
        <v>57.5</v>
      </c>
      <c r="L166" s="108"/>
      <c r="M166" s="84">
        <f>K166*L166</f>
        <v>0</v>
      </c>
      <c r="Z166" s="83">
        <f>IF(AQ166="5",BJ166,0)</f>
        <v>0</v>
      </c>
      <c r="AB166" s="83">
        <f>IF(AQ166="1",BH166,0)</f>
        <v>0</v>
      </c>
      <c r="AC166" s="83">
        <f>IF(AQ166="1",BI166,0)</f>
        <v>0</v>
      </c>
      <c r="AD166" s="83">
        <f>IF(AQ166="7",BH166,0)</f>
        <v>0</v>
      </c>
      <c r="AE166" s="83">
        <f>IF(AQ166="7",BI166,0)</f>
        <v>0</v>
      </c>
      <c r="AF166" s="83">
        <f>IF(AQ166="2",BH166,0)</f>
        <v>0</v>
      </c>
      <c r="AG166" s="83">
        <f>IF(AQ166="2",BI166,0)</f>
        <v>0</v>
      </c>
      <c r="AH166" s="83">
        <f>IF(AQ166="0",BJ166,0)</f>
        <v>0</v>
      </c>
      <c r="AI166" s="72" t="s">
        <v>49</v>
      </c>
      <c r="AJ166" s="83">
        <f>IF(AN166=0,M166,0)</f>
        <v>0</v>
      </c>
      <c r="AK166" s="83">
        <f>IF(AN166=15,M166,0)</f>
        <v>0</v>
      </c>
      <c r="AL166" s="83">
        <f>IF(AN166=21,M166,0)</f>
        <v>0</v>
      </c>
      <c r="AN166" s="83">
        <v>21</v>
      </c>
      <c r="AO166" s="83">
        <f>L166*0.156498740554156</f>
        <v>0</v>
      </c>
      <c r="AP166" s="83">
        <f>L166*(1-0.156498740554156)</f>
        <v>0</v>
      </c>
      <c r="AQ166" s="85" t="s">
        <v>52</v>
      </c>
      <c r="AV166" s="83">
        <f>AW166+AX166</f>
        <v>0</v>
      </c>
      <c r="AW166" s="83">
        <f>K166*AO166</f>
        <v>0</v>
      </c>
      <c r="AX166" s="83">
        <f>K166*AP166</f>
        <v>0</v>
      </c>
      <c r="AY166" s="85" t="s">
        <v>482</v>
      </c>
      <c r="AZ166" s="85" t="s">
        <v>483</v>
      </c>
      <c r="BA166" s="72" t="s">
        <v>58</v>
      </c>
      <c r="BC166" s="83">
        <f>AW166+AX166</f>
        <v>0</v>
      </c>
      <c r="BD166" s="83">
        <f>L166/(100-BE166)*100</f>
        <v>0</v>
      </c>
      <c r="BE166" s="83">
        <v>0</v>
      </c>
      <c r="BF166" s="83">
        <f>166</f>
        <v>166</v>
      </c>
      <c r="BH166" s="83">
        <f>K166*AO166</f>
        <v>0</v>
      </c>
      <c r="BI166" s="83">
        <f>K166*AP166</f>
        <v>0</v>
      </c>
      <c r="BJ166" s="83">
        <f>K166*L166</f>
        <v>0</v>
      </c>
      <c r="BK166" s="83"/>
      <c r="BL166" s="83">
        <v>43</v>
      </c>
    </row>
    <row r="167" spans="1:13" ht="15" customHeight="1">
      <c r="A167" s="86"/>
      <c r="C167" s="87" t="s">
        <v>1139</v>
      </c>
      <c r="I167" s="87" t="s">
        <v>49</v>
      </c>
      <c r="K167" s="88">
        <v>57.50000000000001</v>
      </c>
      <c r="M167" s="89"/>
    </row>
    <row r="168" spans="1:13" ht="27" customHeight="1">
      <c r="A168" s="86"/>
      <c r="B168" s="90" t="s">
        <v>60</v>
      </c>
      <c r="C168" s="161" t="s">
        <v>485</v>
      </c>
      <c r="D168" s="162"/>
      <c r="E168" s="162"/>
      <c r="F168" s="162"/>
      <c r="G168" s="162"/>
      <c r="H168" s="162"/>
      <c r="I168" s="162"/>
      <c r="J168" s="162"/>
      <c r="K168" s="162"/>
      <c r="L168" s="162"/>
      <c r="M168" s="163"/>
    </row>
    <row r="169" spans="1:64" ht="15" customHeight="1">
      <c r="A169" s="65" t="s">
        <v>300</v>
      </c>
      <c r="B169" s="66" t="s">
        <v>487</v>
      </c>
      <c r="C169" s="150" t="s">
        <v>1140</v>
      </c>
      <c r="D169" s="150"/>
      <c r="E169" s="150"/>
      <c r="F169" s="150"/>
      <c r="G169" s="150"/>
      <c r="H169" s="150"/>
      <c r="I169" s="150"/>
      <c r="J169" s="66" t="s">
        <v>191</v>
      </c>
      <c r="K169" s="83">
        <v>15.4</v>
      </c>
      <c r="L169" s="108"/>
      <c r="M169" s="84">
        <f>K169*L169</f>
        <v>0</v>
      </c>
      <c r="Z169" s="83">
        <f>IF(AQ169="5",BJ169,0)</f>
        <v>0</v>
      </c>
      <c r="AB169" s="83">
        <f>IF(AQ169="1",BH169,0)</f>
        <v>0</v>
      </c>
      <c r="AC169" s="83">
        <f>IF(AQ169="1",BI169,0)</f>
        <v>0</v>
      </c>
      <c r="AD169" s="83">
        <f>IF(AQ169="7",BH169,0)</f>
        <v>0</v>
      </c>
      <c r="AE169" s="83">
        <f>IF(AQ169="7",BI169,0)</f>
        <v>0</v>
      </c>
      <c r="AF169" s="83">
        <f>IF(AQ169="2",BH169,0)</f>
        <v>0</v>
      </c>
      <c r="AG169" s="83">
        <f>IF(AQ169="2",BI169,0)</f>
        <v>0</v>
      </c>
      <c r="AH169" s="83">
        <f>IF(AQ169="0",BJ169,0)</f>
        <v>0</v>
      </c>
      <c r="AI169" s="72" t="s">
        <v>49</v>
      </c>
      <c r="AJ169" s="83">
        <f>IF(AN169=0,M169,0)</f>
        <v>0</v>
      </c>
      <c r="AK169" s="83">
        <f>IF(AN169=15,M169,0)</f>
        <v>0</v>
      </c>
      <c r="AL169" s="83">
        <f>IF(AN169=21,M169,0)</f>
        <v>0</v>
      </c>
      <c r="AN169" s="83">
        <v>21</v>
      </c>
      <c r="AO169" s="83">
        <f>L169*1</f>
        <v>0</v>
      </c>
      <c r="AP169" s="83">
        <f>L169*(1-1)</f>
        <v>0</v>
      </c>
      <c r="AQ169" s="85" t="s">
        <v>52</v>
      </c>
      <c r="AV169" s="83">
        <f>AW169+AX169</f>
        <v>0</v>
      </c>
      <c r="AW169" s="83">
        <f>K169*AO169</f>
        <v>0</v>
      </c>
      <c r="AX169" s="83">
        <f>K169*AP169</f>
        <v>0</v>
      </c>
      <c r="AY169" s="85" t="s">
        <v>482</v>
      </c>
      <c r="AZ169" s="85" t="s">
        <v>483</v>
      </c>
      <c r="BA169" s="72" t="s">
        <v>58</v>
      </c>
      <c r="BC169" s="83">
        <f>AW169+AX169</f>
        <v>0</v>
      </c>
      <c r="BD169" s="83">
        <f>L169/(100-BE169)*100</f>
        <v>0</v>
      </c>
      <c r="BE169" s="83">
        <v>0</v>
      </c>
      <c r="BF169" s="83">
        <f>169</f>
        <v>169</v>
      </c>
      <c r="BH169" s="83">
        <f>K169*AO169</f>
        <v>0</v>
      </c>
      <c r="BI169" s="83">
        <f>K169*AP169</f>
        <v>0</v>
      </c>
      <c r="BJ169" s="83">
        <f>K169*L169</f>
        <v>0</v>
      </c>
      <c r="BK169" s="83"/>
      <c r="BL169" s="83">
        <v>43</v>
      </c>
    </row>
    <row r="170" spans="1:13" ht="15" customHeight="1">
      <c r="A170" s="86"/>
      <c r="C170" s="87" t="s">
        <v>1141</v>
      </c>
      <c r="I170" s="87" t="s">
        <v>49</v>
      </c>
      <c r="K170" s="88">
        <v>15.400000000000002</v>
      </c>
      <c r="M170" s="89"/>
    </row>
    <row r="171" spans="1:64" ht="15" customHeight="1">
      <c r="A171" s="65" t="s">
        <v>311</v>
      </c>
      <c r="B171" s="66" t="s">
        <v>490</v>
      </c>
      <c r="C171" s="150" t="s">
        <v>1142</v>
      </c>
      <c r="D171" s="150"/>
      <c r="E171" s="150"/>
      <c r="F171" s="150"/>
      <c r="G171" s="150"/>
      <c r="H171" s="150"/>
      <c r="I171" s="150"/>
      <c r="J171" s="66" t="s">
        <v>191</v>
      </c>
      <c r="K171" s="83">
        <v>23.3</v>
      </c>
      <c r="L171" s="108"/>
      <c r="M171" s="84">
        <f>K171*L171</f>
        <v>0</v>
      </c>
      <c r="Z171" s="83">
        <f>IF(AQ171="5",BJ171,0)</f>
        <v>0</v>
      </c>
      <c r="AB171" s="83">
        <f>IF(AQ171="1",BH171,0)</f>
        <v>0</v>
      </c>
      <c r="AC171" s="83">
        <f>IF(AQ171="1",BI171,0)</f>
        <v>0</v>
      </c>
      <c r="AD171" s="83">
        <f>IF(AQ171="7",BH171,0)</f>
        <v>0</v>
      </c>
      <c r="AE171" s="83">
        <f>IF(AQ171="7",BI171,0)</f>
        <v>0</v>
      </c>
      <c r="AF171" s="83">
        <f>IF(AQ171="2",BH171,0)</f>
        <v>0</v>
      </c>
      <c r="AG171" s="83">
        <f>IF(AQ171="2",BI171,0)</f>
        <v>0</v>
      </c>
      <c r="AH171" s="83">
        <f>IF(AQ171="0",BJ171,0)</f>
        <v>0</v>
      </c>
      <c r="AI171" s="72" t="s">
        <v>49</v>
      </c>
      <c r="AJ171" s="83">
        <f>IF(AN171=0,M171,0)</f>
        <v>0</v>
      </c>
      <c r="AK171" s="83">
        <f>IF(AN171=15,M171,0)</f>
        <v>0</v>
      </c>
      <c r="AL171" s="83">
        <f>IF(AN171=21,M171,0)</f>
        <v>0</v>
      </c>
      <c r="AN171" s="83">
        <v>21</v>
      </c>
      <c r="AO171" s="83">
        <f>L171*1</f>
        <v>0</v>
      </c>
      <c r="AP171" s="83">
        <f>L171*(1-1)</f>
        <v>0</v>
      </c>
      <c r="AQ171" s="85" t="s">
        <v>52</v>
      </c>
      <c r="AV171" s="83">
        <f>AW171+AX171</f>
        <v>0</v>
      </c>
      <c r="AW171" s="83">
        <f>K171*AO171</f>
        <v>0</v>
      </c>
      <c r="AX171" s="83">
        <f>K171*AP171</f>
        <v>0</v>
      </c>
      <c r="AY171" s="85" t="s">
        <v>482</v>
      </c>
      <c r="AZ171" s="85" t="s">
        <v>483</v>
      </c>
      <c r="BA171" s="72" t="s">
        <v>58</v>
      </c>
      <c r="BC171" s="83">
        <f>AW171+AX171</f>
        <v>0</v>
      </c>
      <c r="BD171" s="83">
        <f>L171/(100-BE171)*100</f>
        <v>0</v>
      </c>
      <c r="BE171" s="83">
        <v>0</v>
      </c>
      <c r="BF171" s="83">
        <f>171</f>
        <v>171</v>
      </c>
      <c r="BH171" s="83">
        <f>K171*AO171</f>
        <v>0</v>
      </c>
      <c r="BI171" s="83">
        <f>K171*AP171</f>
        <v>0</v>
      </c>
      <c r="BJ171" s="83">
        <f>K171*L171</f>
        <v>0</v>
      </c>
      <c r="BK171" s="83"/>
      <c r="BL171" s="83">
        <v>43</v>
      </c>
    </row>
    <row r="172" spans="1:13" ht="15" customHeight="1">
      <c r="A172" s="86"/>
      <c r="C172" s="87" t="s">
        <v>1143</v>
      </c>
      <c r="I172" s="87" t="s">
        <v>49</v>
      </c>
      <c r="K172" s="88">
        <v>23.3</v>
      </c>
      <c r="M172" s="89"/>
    </row>
    <row r="173" spans="1:64" ht="15" customHeight="1">
      <c r="A173" s="65" t="s">
        <v>340</v>
      </c>
      <c r="B173" s="66" t="s">
        <v>494</v>
      </c>
      <c r="C173" s="150" t="s">
        <v>1144</v>
      </c>
      <c r="D173" s="150"/>
      <c r="E173" s="150"/>
      <c r="F173" s="150"/>
      <c r="G173" s="150"/>
      <c r="H173" s="150"/>
      <c r="I173" s="150"/>
      <c r="J173" s="66" t="s">
        <v>191</v>
      </c>
      <c r="K173" s="83">
        <v>15.1</v>
      </c>
      <c r="L173" s="108"/>
      <c r="M173" s="84">
        <f>K173*L173</f>
        <v>0</v>
      </c>
      <c r="Z173" s="83">
        <f>IF(AQ173="5",BJ173,0)</f>
        <v>0</v>
      </c>
      <c r="AB173" s="83">
        <f>IF(AQ173="1",BH173,0)</f>
        <v>0</v>
      </c>
      <c r="AC173" s="83">
        <f>IF(AQ173="1",BI173,0)</f>
        <v>0</v>
      </c>
      <c r="AD173" s="83">
        <f>IF(AQ173="7",BH173,0)</f>
        <v>0</v>
      </c>
      <c r="AE173" s="83">
        <f>IF(AQ173="7",BI173,0)</f>
        <v>0</v>
      </c>
      <c r="AF173" s="83">
        <f>IF(AQ173="2",BH173,0)</f>
        <v>0</v>
      </c>
      <c r="AG173" s="83">
        <f>IF(AQ173="2",BI173,0)</f>
        <v>0</v>
      </c>
      <c r="AH173" s="83">
        <f>IF(AQ173="0",BJ173,0)</f>
        <v>0</v>
      </c>
      <c r="AI173" s="72" t="s">
        <v>49</v>
      </c>
      <c r="AJ173" s="83">
        <f>IF(AN173=0,M173,0)</f>
        <v>0</v>
      </c>
      <c r="AK173" s="83">
        <f>IF(AN173=15,M173,0)</f>
        <v>0</v>
      </c>
      <c r="AL173" s="83">
        <f>IF(AN173=21,M173,0)</f>
        <v>0</v>
      </c>
      <c r="AN173" s="83">
        <v>21</v>
      </c>
      <c r="AO173" s="83">
        <f>L173*1</f>
        <v>0</v>
      </c>
      <c r="AP173" s="83">
        <f>L173*(1-1)</f>
        <v>0</v>
      </c>
      <c r="AQ173" s="85" t="s">
        <v>52</v>
      </c>
      <c r="AV173" s="83">
        <f>AW173+AX173</f>
        <v>0</v>
      </c>
      <c r="AW173" s="83">
        <f>K173*AO173</f>
        <v>0</v>
      </c>
      <c r="AX173" s="83">
        <f>K173*AP173</f>
        <v>0</v>
      </c>
      <c r="AY173" s="85" t="s">
        <v>482</v>
      </c>
      <c r="AZ173" s="85" t="s">
        <v>483</v>
      </c>
      <c r="BA173" s="72" t="s">
        <v>58</v>
      </c>
      <c r="BC173" s="83">
        <f>AW173+AX173</f>
        <v>0</v>
      </c>
      <c r="BD173" s="83">
        <f>L173/(100-BE173)*100</f>
        <v>0</v>
      </c>
      <c r="BE173" s="83">
        <v>0</v>
      </c>
      <c r="BF173" s="83">
        <f>173</f>
        <v>173</v>
      </c>
      <c r="BH173" s="83">
        <f>K173*AO173</f>
        <v>0</v>
      </c>
      <c r="BI173" s="83">
        <f>K173*AP173</f>
        <v>0</v>
      </c>
      <c r="BJ173" s="83">
        <f>K173*L173</f>
        <v>0</v>
      </c>
      <c r="BK173" s="83"/>
      <c r="BL173" s="83">
        <v>43</v>
      </c>
    </row>
    <row r="174" spans="1:13" ht="15" customHeight="1">
      <c r="A174" s="86"/>
      <c r="C174" s="87" t="s">
        <v>1145</v>
      </c>
      <c r="I174" s="87" t="s">
        <v>49</v>
      </c>
      <c r="K174" s="88">
        <v>15.100000000000001</v>
      </c>
      <c r="M174" s="89"/>
    </row>
    <row r="175" spans="1:47" ht="15" customHeight="1">
      <c r="A175" s="78" t="s">
        <v>49</v>
      </c>
      <c r="B175" s="79" t="s">
        <v>302</v>
      </c>
      <c r="C175" s="168" t="s">
        <v>500</v>
      </c>
      <c r="D175" s="168"/>
      <c r="E175" s="168"/>
      <c r="F175" s="168"/>
      <c r="G175" s="168"/>
      <c r="H175" s="168"/>
      <c r="I175" s="168"/>
      <c r="J175" s="80" t="s">
        <v>3</v>
      </c>
      <c r="K175" s="80" t="s">
        <v>3</v>
      </c>
      <c r="L175" s="80" t="s">
        <v>3</v>
      </c>
      <c r="M175" s="81">
        <f>SUM(M176:M176)</f>
        <v>0</v>
      </c>
      <c r="AI175" s="72" t="s">
        <v>49</v>
      </c>
      <c r="AS175" s="82">
        <f>SUM(AJ176:AJ176)</f>
        <v>0</v>
      </c>
      <c r="AT175" s="82">
        <f>SUM(AK176:AK176)</f>
        <v>0</v>
      </c>
      <c r="AU175" s="82">
        <f>SUM(AL176:AL176)</f>
        <v>0</v>
      </c>
    </row>
    <row r="176" spans="1:64" ht="15" customHeight="1">
      <c r="A176" s="65" t="s">
        <v>346</v>
      </c>
      <c r="B176" s="66" t="s">
        <v>501</v>
      </c>
      <c r="C176" s="150" t="s">
        <v>502</v>
      </c>
      <c r="D176" s="150"/>
      <c r="E176" s="150"/>
      <c r="F176" s="150"/>
      <c r="G176" s="150"/>
      <c r="H176" s="150"/>
      <c r="I176" s="150"/>
      <c r="J176" s="66" t="s">
        <v>226</v>
      </c>
      <c r="K176" s="83">
        <v>1</v>
      </c>
      <c r="L176" s="108"/>
      <c r="M176" s="84">
        <f>K176*L176</f>
        <v>0</v>
      </c>
      <c r="Z176" s="83">
        <f>IF(AQ176="5",BJ176,0)</f>
        <v>0</v>
      </c>
      <c r="AB176" s="83">
        <f>IF(AQ176="1",BH176,0)</f>
        <v>0</v>
      </c>
      <c r="AC176" s="83">
        <f>IF(AQ176="1",BI176,0)</f>
        <v>0</v>
      </c>
      <c r="AD176" s="83">
        <f>IF(AQ176="7",BH176,0)</f>
        <v>0</v>
      </c>
      <c r="AE176" s="83">
        <f>IF(AQ176="7",BI176,0)</f>
        <v>0</v>
      </c>
      <c r="AF176" s="83">
        <f>IF(AQ176="2",BH176,0)</f>
        <v>0</v>
      </c>
      <c r="AG176" s="83">
        <f>IF(AQ176="2",BI176,0)</f>
        <v>0</v>
      </c>
      <c r="AH176" s="83">
        <f>IF(AQ176="0",BJ176,0)</f>
        <v>0</v>
      </c>
      <c r="AI176" s="72" t="s">
        <v>49</v>
      </c>
      <c r="AJ176" s="83">
        <f>IF(AN176=0,M176,0)</f>
        <v>0</v>
      </c>
      <c r="AK176" s="83">
        <f>IF(AN176=15,M176,0)</f>
        <v>0</v>
      </c>
      <c r="AL176" s="83">
        <f>IF(AN176=21,M176,0)</f>
        <v>0</v>
      </c>
      <c r="AN176" s="83">
        <v>21</v>
      </c>
      <c r="AO176" s="83">
        <f>L176*0.50033241955902</f>
        <v>0</v>
      </c>
      <c r="AP176" s="83">
        <f>L176*(1-0.50033241955902)</f>
        <v>0</v>
      </c>
      <c r="AQ176" s="85" t="s">
        <v>52</v>
      </c>
      <c r="AV176" s="83">
        <f>AW176+AX176</f>
        <v>0</v>
      </c>
      <c r="AW176" s="83">
        <f>K176*AO176</f>
        <v>0</v>
      </c>
      <c r="AX176" s="83">
        <f>K176*AP176</f>
        <v>0</v>
      </c>
      <c r="AY176" s="85" t="s">
        <v>503</v>
      </c>
      <c r="AZ176" s="85" t="s">
        <v>483</v>
      </c>
      <c r="BA176" s="72" t="s">
        <v>58</v>
      </c>
      <c r="BC176" s="83">
        <f>AW176+AX176</f>
        <v>0</v>
      </c>
      <c r="BD176" s="83">
        <f>L176/(100-BE176)*100</f>
        <v>0</v>
      </c>
      <c r="BE176" s="83">
        <v>0</v>
      </c>
      <c r="BF176" s="83">
        <f>176</f>
        <v>176</v>
      </c>
      <c r="BH176" s="83">
        <f>K176*AO176</f>
        <v>0</v>
      </c>
      <c r="BI176" s="83">
        <f>K176*AP176</f>
        <v>0</v>
      </c>
      <c r="BJ176" s="83">
        <f>K176*L176</f>
        <v>0</v>
      </c>
      <c r="BK176" s="83"/>
      <c r="BL176" s="83">
        <v>45</v>
      </c>
    </row>
    <row r="177" spans="1:13" ht="15" customHeight="1">
      <c r="A177" s="86"/>
      <c r="C177" s="87" t="s">
        <v>52</v>
      </c>
      <c r="I177" s="87" t="s">
        <v>312</v>
      </c>
      <c r="K177" s="88">
        <v>1</v>
      </c>
      <c r="M177" s="89"/>
    </row>
    <row r="178" spans="1:13" ht="27" customHeight="1">
      <c r="A178" s="86"/>
      <c r="B178" s="90" t="s">
        <v>60</v>
      </c>
      <c r="C178" s="161" t="s">
        <v>504</v>
      </c>
      <c r="D178" s="162"/>
      <c r="E178" s="162"/>
      <c r="F178" s="162"/>
      <c r="G178" s="162"/>
      <c r="H178" s="162"/>
      <c r="I178" s="162"/>
      <c r="J178" s="162"/>
      <c r="K178" s="162"/>
      <c r="L178" s="162"/>
      <c r="M178" s="163"/>
    </row>
    <row r="179" spans="1:47" ht="15" customHeight="1">
      <c r="A179" s="78" t="s">
        <v>49</v>
      </c>
      <c r="B179" s="79" t="s">
        <v>357</v>
      </c>
      <c r="C179" s="168" t="s">
        <v>505</v>
      </c>
      <c r="D179" s="168"/>
      <c r="E179" s="168"/>
      <c r="F179" s="168"/>
      <c r="G179" s="168"/>
      <c r="H179" s="168"/>
      <c r="I179" s="168"/>
      <c r="J179" s="80" t="s">
        <v>3</v>
      </c>
      <c r="K179" s="80" t="s">
        <v>3</v>
      </c>
      <c r="L179" s="80" t="s">
        <v>3</v>
      </c>
      <c r="M179" s="81">
        <f>SUM(M180:M204)</f>
        <v>0</v>
      </c>
      <c r="AI179" s="72" t="s">
        <v>49</v>
      </c>
      <c r="AS179" s="82">
        <f>SUM(AJ180:AJ204)</f>
        <v>0</v>
      </c>
      <c r="AT179" s="82">
        <f>SUM(AK180:AK204)</f>
        <v>0</v>
      </c>
      <c r="AU179" s="82">
        <f>SUM(AL180:AL204)</f>
        <v>0</v>
      </c>
    </row>
    <row r="180" spans="1:64" ht="15" customHeight="1">
      <c r="A180" s="65" t="s">
        <v>350</v>
      </c>
      <c r="B180" s="66" t="s">
        <v>517</v>
      </c>
      <c r="C180" s="150" t="s">
        <v>518</v>
      </c>
      <c r="D180" s="150"/>
      <c r="E180" s="150"/>
      <c r="F180" s="150"/>
      <c r="G180" s="150"/>
      <c r="H180" s="150"/>
      <c r="I180" s="150"/>
      <c r="J180" s="66" t="s">
        <v>79</v>
      </c>
      <c r="K180" s="83">
        <v>237.97</v>
      </c>
      <c r="L180" s="108"/>
      <c r="M180" s="84">
        <f>K180*L180</f>
        <v>0</v>
      </c>
      <c r="Z180" s="83">
        <f>IF(AQ180="5",BJ180,0)</f>
        <v>0</v>
      </c>
      <c r="AB180" s="83">
        <f>IF(AQ180="1",BH180,0)</f>
        <v>0</v>
      </c>
      <c r="AC180" s="83">
        <f>IF(AQ180="1",BI180,0)</f>
        <v>0</v>
      </c>
      <c r="AD180" s="83">
        <f>IF(AQ180="7",BH180,0)</f>
        <v>0</v>
      </c>
      <c r="AE180" s="83">
        <f>IF(AQ180="7",BI180,0)</f>
        <v>0</v>
      </c>
      <c r="AF180" s="83">
        <f>IF(AQ180="2",BH180,0)</f>
        <v>0</v>
      </c>
      <c r="AG180" s="83">
        <f>IF(AQ180="2",BI180,0)</f>
        <v>0</v>
      </c>
      <c r="AH180" s="83">
        <f>IF(AQ180="0",BJ180,0)</f>
        <v>0</v>
      </c>
      <c r="AI180" s="72" t="s">
        <v>49</v>
      </c>
      <c r="AJ180" s="83">
        <f>IF(AN180=0,M180,0)</f>
        <v>0</v>
      </c>
      <c r="AK180" s="83">
        <f>IF(AN180=15,M180,0)</f>
        <v>0</v>
      </c>
      <c r="AL180" s="83">
        <f>IF(AN180=21,M180,0)</f>
        <v>0</v>
      </c>
      <c r="AN180" s="83">
        <v>21</v>
      </c>
      <c r="AO180" s="83">
        <f>L180*0.919027556182808</f>
        <v>0</v>
      </c>
      <c r="AP180" s="83">
        <f>L180*(1-0.919027556182808)</f>
        <v>0</v>
      </c>
      <c r="AQ180" s="85" t="s">
        <v>52</v>
      </c>
      <c r="AV180" s="83">
        <f>AW180+AX180</f>
        <v>0</v>
      </c>
      <c r="AW180" s="83">
        <f>K180*AO180</f>
        <v>0</v>
      </c>
      <c r="AX180" s="83">
        <f>K180*AP180</f>
        <v>0</v>
      </c>
      <c r="AY180" s="85" t="s">
        <v>509</v>
      </c>
      <c r="AZ180" s="85" t="s">
        <v>510</v>
      </c>
      <c r="BA180" s="72" t="s">
        <v>58</v>
      </c>
      <c r="BC180" s="83">
        <f>AW180+AX180</f>
        <v>0</v>
      </c>
      <c r="BD180" s="83">
        <f>L180/(100-BE180)*100</f>
        <v>0</v>
      </c>
      <c r="BE180" s="83">
        <v>0</v>
      </c>
      <c r="BF180" s="83">
        <f>180</f>
        <v>180</v>
      </c>
      <c r="BH180" s="83">
        <f>K180*AO180</f>
        <v>0</v>
      </c>
      <c r="BI180" s="83">
        <f>K180*AP180</f>
        <v>0</v>
      </c>
      <c r="BJ180" s="83">
        <f>K180*L180</f>
        <v>0</v>
      </c>
      <c r="BK180" s="83"/>
      <c r="BL180" s="83">
        <v>56</v>
      </c>
    </row>
    <row r="181" spans="1:13" ht="15" customHeight="1">
      <c r="A181" s="86"/>
      <c r="C181" s="87" t="s">
        <v>863</v>
      </c>
      <c r="I181" s="87" t="s">
        <v>583</v>
      </c>
      <c r="K181" s="88">
        <v>152</v>
      </c>
      <c r="M181" s="89"/>
    </row>
    <row r="182" spans="1:13" ht="15" customHeight="1">
      <c r="A182" s="86"/>
      <c r="C182" s="87" t="s">
        <v>1034</v>
      </c>
      <c r="I182" s="87" t="s">
        <v>1146</v>
      </c>
      <c r="K182" s="88">
        <v>187.00000000000003</v>
      </c>
      <c r="M182" s="89"/>
    </row>
    <row r="183" spans="1:13" ht="15" customHeight="1">
      <c r="A183" s="86"/>
      <c r="C183" s="87" t="s">
        <v>1147</v>
      </c>
      <c r="I183" s="87" t="s">
        <v>88</v>
      </c>
      <c r="K183" s="88">
        <v>-67.29</v>
      </c>
      <c r="M183" s="89"/>
    </row>
    <row r="184" spans="1:13" ht="15" customHeight="1">
      <c r="A184" s="86"/>
      <c r="C184" s="87" t="s">
        <v>1148</v>
      </c>
      <c r="I184" s="87" t="s">
        <v>90</v>
      </c>
      <c r="K184" s="88">
        <v>-33.74</v>
      </c>
      <c r="M184" s="89"/>
    </row>
    <row r="185" spans="1:64" ht="15" customHeight="1">
      <c r="A185" s="65" t="s">
        <v>354</v>
      </c>
      <c r="B185" s="66" t="s">
        <v>535</v>
      </c>
      <c r="C185" s="150" t="s">
        <v>536</v>
      </c>
      <c r="D185" s="150"/>
      <c r="E185" s="150"/>
      <c r="F185" s="150"/>
      <c r="G185" s="150"/>
      <c r="H185" s="150"/>
      <c r="I185" s="150"/>
      <c r="J185" s="66" t="s">
        <v>79</v>
      </c>
      <c r="K185" s="83">
        <v>-112.766</v>
      </c>
      <c r="L185" s="108"/>
      <c r="M185" s="84">
        <f>K185*L185</f>
        <v>0</v>
      </c>
      <c r="Z185" s="83">
        <f>IF(AQ185="5",BJ185,0)</f>
        <v>0</v>
      </c>
      <c r="AB185" s="83">
        <f>IF(AQ185="1",BH185,0)</f>
        <v>0</v>
      </c>
      <c r="AC185" s="83">
        <f>IF(AQ185="1",BI185,0)</f>
        <v>0</v>
      </c>
      <c r="AD185" s="83">
        <f>IF(AQ185="7",BH185,0)</f>
        <v>0</v>
      </c>
      <c r="AE185" s="83">
        <f>IF(AQ185="7",BI185,0)</f>
        <v>0</v>
      </c>
      <c r="AF185" s="83">
        <f>IF(AQ185="2",BH185,0)</f>
        <v>0</v>
      </c>
      <c r="AG185" s="83">
        <f>IF(AQ185="2",BI185,0)</f>
        <v>0</v>
      </c>
      <c r="AH185" s="83">
        <f>IF(AQ185="0",BJ185,0)</f>
        <v>0</v>
      </c>
      <c r="AI185" s="72" t="s">
        <v>49</v>
      </c>
      <c r="AJ185" s="83">
        <f>IF(AN185=0,M185,0)</f>
        <v>0</v>
      </c>
      <c r="AK185" s="83">
        <f>IF(AN185=15,M185,0)</f>
        <v>0</v>
      </c>
      <c r="AL185" s="83">
        <f>IF(AN185=21,M185,0)</f>
        <v>0</v>
      </c>
      <c r="AN185" s="83">
        <v>21</v>
      </c>
      <c r="AO185" s="83">
        <f>L185*0.8834381815277</f>
        <v>0</v>
      </c>
      <c r="AP185" s="83">
        <f>L185*(1-0.8834381815277)</f>
        <v>0</v>
      </c>
      <c r="AQ185" s="85" t="s">
        <v>52</v>
      </c>
      <c r="AV185" s="83">
        <f>AW185+AX185</f>
        <v>0</v>
      </c>
      <c r="AW185" s="83">
        <f>K185*AO185</f>
        <v>0</v>
      </c>
      <c r="AX185" s="83">
        <f>K185*AP185</f>
        <v>0</v>
      </c>
      <c r="AY185" s="85" t="s">
        <v>509</v>
      </c>
      <c r="AZ185" s="85" t="s">
        <v>510</v>
      </c>
      <c r="BA185" s="72" t="s">
        <v>58</v>
      </c>
      <c r="BC185" s="83">
        <f>AW185+AX185</f>
        <v>0</v>
      </c>
      <c r="BD185" s="83">
        <f>L185/(100-BE185)*100</f>
        <v>0</v>
      </c>
      <c r="BE185" s="83">
        <v>0</v>
      </c>
      <c r="BF185" s="83">
        <f>185</f>
        <v>185</v>
      </c>
      <c r="BH185" s="83">
        <f>K185*AO185</f>
        <v>0</v>
      </c>
      <c r="BI185" s="83">
        <f>K185*AP185</f>
        <v>0</v>
      </c>
      <c r="BJ185" s="83">
        <f>K185*L185</f>
        <v>0</v>
      </c>
      <c r="BK185" s="83"/>
      <c r="BL185" s="83">
        <v>56</v>
      </c>
    </row>
    <row r="186" spans="1:13" ht="15" customHeight="1">
      <c r="A186" s="86"/>
      <c r="C186" s="87" t="s">
        <v>1149</v>
      </c>
      <c r="I186" s="87" t="s">
        <v>538</v>
      </c>
      <c r="K186" s="88">
        <v>322</v>
      </c>
      <c r="M186" s="89"/>
    </row>
    <row r="187" spans="1:13" ht="15" customHeight="1">
      <c r="A187" s="86"/>
      <c r="C187" s="87" t="s">
        <v>1150</v>
      </c>
      <c r="I187" s="87" t="s">
        <v>540</v>
      </c>
      <c r="K187" s="88">
        <v>-187.00000000000003</v>
      </c>
      <c r="M187" s="89"/>
    </row>
    <row r="188" spans="1:13" ht="15" customHeight="1">
      <c r="A188" s="86"/>
      <c r="C188" s="87" t="s">
        <v>1151</v>
      </c>
      <c r="I188" s="87" t="s">
        <v>1152</v>
      </c>
      <c r="K188" s="88">
        <v>-69</v>
      </c>
      <c r="M188" s="89"/>
    </row>
    <row r="189" spans="1:13" ht="15" customHeight="1">
      <c r="A189" s="86"/>
      <c r="C189" s="87" t="s">
        <v>1153</v>
      </c>
      <c r="I189" s="87" t="s">
        <v>88</v>
      </c>
      <c r="K189" s="88">
        <v>-104.05000000000001</v>
      </c>
      <c r="M189" s="89"/>
    </row>
    <row r="190" spans="1:13" ht="15" customHeight="1">
      <c r="A190" s="86"/>
      <c r="C190" s="87" t="s">
        <v>1154</v>
      </c>
      <c r="I190" s="87" t="s">
        <v>90</v>
      </c>
      <c r="K190" s="88">
        <v>-74.71600000000001</v>
      </c>
      <c r="M190" s="89"/>
    </row>
    <row r="191" spans="1:64" ht="15" customHeight="1">
      <c r="A191" s="65" t="s">
        <v>357</v>
      </c>
      <c r="B191" s="66" t="s">
        <v>544</v>
      </c>
      <c r="C191" s="150" t="s">
        <v>545</v>
      </c>
      <c r="D191" s="150"/>
      <c r="E191" s="150"/>
      <c r="F191" s="150"/>
      <c r="G191" s="150"/>
      <c r="H191" s="150"/>
      <c r="I191" s="150"/>
      <c r="J191" s="66" t="s">
        <v>79</v>
      </c>
      <c r="K191" s="83">
        <v>65.97</v>
      </c>
      <c r="L191" s="108"/>
      <c r="M191" s="84">
        <f>K191*L191</f>
        <v>0</v>
      </c>
      <c r="Z191" s="83">
        <f>IF(AQ191="5",BJ191,0)</f>
        <v>0</v>
      </c>
      <c r="AB191" s="83">
        <f>IF(AQ191="1",BH191,0)</f>
        <v>0</v>
      </c>
      <c r="AC191" s="83">
        <f>IF(AQ191="1",BI191,0)</f>
        <v>0</v>
      </c>
      <c r="AD191" s="83">
        <f>IF(AQ191="7",BH191,0)</f>
        <v>0</v>
      </c>
      <c r="AE191" s="83">
        <f>IF(AQ191="7",BI191,0)</f>
        <v>0</v>
      </c>
      <c r="AF191" s="83">
        <f>IF(AQ191="2",BH191,0)</f>
        <v>0</v>
      </c>
      <c r="AG191" s="83">
        <f>IF(AQ191="2",BI191,0)</f>
        <v>0</v>
      </c>
      <c r="AH191" s="83">
        <f>IF(AQ191="0",BJ191,0)</f>
        <v>0</v>
      </c>
      <c r="AI191" s="72" t="s">
        <v>49</v>
      </c>
      <c r="AJ191" s="83">
        <f>IF(AN191=0,M191,0)</f>
        <v>0</v>
      </c>
      <c r="AK191" s="83">
        <f>IF(AN191=15,M191,0)</f>
        <v>0</v>
      </c>
      <c r="AL191" s="83">
        <f>IF(AN191=21,M191,0)</f>
        <v>0</v>
      </c>
      <c r="AN191" s="83">
        <v>21</v>
      </c>
      <c r="AO191" s="83">
        <f>L191*0.859685717245605</f>
        <v>0</v>
      </c>
      <c r="AP191" s="83">
        <f>L191*(1-0.859685717245605)</f>
        <v>0</v>
      </c>
      <c r="AQ191" s="85" t="s">
        <v>52</v>
      </c>
      <c r="AV191" s="83">
        <f>AW191+AX191</f>
        <v>0</v>
      </c>
      <c r="AW191" s="83">
        <f>K191*AO191</f>
        <v>0</v>
      </c>
      <c r="AX191" s="83">
        <f>K191*AP191</f>
        <v>0</v>
      </c>
      <c r="AY191" s="85" t="s">
        <v>509</v>
      </c>
      <c r="AZ191" s="85" t="s">
        <v>510</v>
      </c>
      <c r="BA191" s="72" t="s">
        <v>58</v>
      </c>
      <c r="BC191" s="83">
        <f>AW191+AX191</f>
        <v>0</v>
      </c>
      <c r="BD191" s="83">
        <f>L191/(100-BE191)*100</f>
        <v>0</v>
      </c>
      <c r="BE191" s="83">
        <v>0</v>
      </c>
      <c r="BF191" s="83">
        <f>191</f>
        <v>191</v>
      </c>
      <c r="BH191" s="83">
        <f>K191*AO191</f>
        <v>0</v>
      </c>
      <c r="BI191" s="83">
        <f>K191*AP191</f>
        <v>0</v>
      </c>
      <c r="BJ191" s="83">
        <f>K191*L191</f>
        <v>0</v>
      </c>
      <c r="BK191" s="83"/>
      <c r="BL191" s="83">
        <v>56</v>
      </c>
    </row>
    <row r="192" spans="1:13" ht="13.5" customHeight="1">
      <c r="A192" s="86"/>
      <c r="B192" s="90" t="s">
        <v>273</v>
      </c>
      <c r="C192" s="161" t="s">
        <v>546</v>
      </c>
      <c r="D192" s="162"/>
      <c r="E192" s="162"/>
      <c r="F192" s="162"/>
      <c r="G192" s="162"/>
      <c r="H192" s="162"/>
      <c r="I192" s="162"/>
      <c r="J192" s="162"/>
      <c r="K192" s="162"/>
      <c r="L192" s="162"/>
      <c r="M192" s="163"/>
    </row>
    <row r="193" spans="1:13" ht="15" customHeight="1">
      <c r="A193" s="86"/>
      <c r="C193" s="87" t="s">
        <v>923</v>
      </c>
      <c r="I193" s="87" t="s">
        <v>1155</v>
      </c>
      <c r="K193" s="88">
        <v>167</v>
      </c>
      <c r="M193" s="89"/>
    </row>
    <row r="194" spans="1:13" ht="15" customHeight="1">
      <c r="A194" s="86"/>
      <c r="C194" s="87" t="s">
        <v>1147</v>
      </c>
      <c r="I194" s="87" t="s">
        <v>88</v>
      </c>
      <c r="K194" s="88">
        <v>-67.29</v>
      </c>
      <c r="M194" s="89"/>
    </row>
    <row r="195" spans="1:13" ht="15" customHeight="1">
      <c r="A195" s="86"/>
      <c r="C195" s="87" t="s">
        <v>1148</v>
      </c>
      <c r="I195" s="87" t="s">
        <v>90</v>
      </c>
      <c r="K195" s="88">
        <v>-33.74</v>
      </c>
      <c r="M195" s="89"/>
    </row>
    <row r="196" spans="1:64" ht="15" customHeight="1">
      <c r="A196" s="65" t="s">
        <v>363</v>
      </c>
      <c r="B196" s="66" t="s">
        <v>553</v>
      </c>
      <c r="C196" s="150" t="s">
        <v>554</v>
      </c>
      <c r="D196" s="150"/>
      <c r="E196" s="150"/>
      <c r="F196" s="150"/>
      <c r="G196" s="150"/>
      <c r="H196" s="150"/>
      <c r="I196" s="150"/>
      <c r="J196" s="66" t="s">
        <v>79</v>
      </c>
      <c r="K196" s="83">
        <v>465.234</v>
      </c>
      <c r="L196" s="108"/>
      <c r="M196" s="84">
        <f>K196*L196</f>
        <v>0</v>
      </c>
      <c r="Z196" s="83">
        <f>IF(AQ196="5",BJ196,0)</f>
        <v>0</v>
      </c>
      <c r="AB196" s="83">
        <f>IF(AQ196="1",BH196,0)</f>
        <v>0</v>
      </c>
      <c r="AC196" s="83">
        <f>IF(AQ196="1",BI196,0)</f>
        <v>0</v>
      </c>
      <c r="AD196" s="83">
        <f>IF(AQ196="7",BH196,0)</f>
        <v>0</v>
      </c>
      <c r="AE196" s="83">
        <f>IF(AQ196="7",BI196,0)</f>
        <v>0</v>
      </c>
      <c r="AF196" s="83">
        <f>IF(AQ196="2",BH196,0)</f>
        <v>0</v>
      </c>
      <c r="AG196" s="83">
        <f>IF(AQ196="2",BI196,0)</f>
        <v>0</v>
      </c>
      <c r="AH196" s="83">
        <f>IF(AQ196="0",BJ196,0)</f>
        <v>0</v>
      </c>
      <c r="AI196" s="72" t="s">
        <v>49</v>
      </c>
      <c r="AJ196" s="83">
        <f>IF(AN196=0,M196,0)</f>
        <v>0</v>
      </c>
      <c r="AK196" s="83">
        <f>IF(AN196=15,M196,0)</f>
        <v>0</v>
      </c>
      <c r="AL196" s="83">
        <f>IF(AN196=21,M196,0)</f>
        <v>0</v>
      </c>
      <c r="AN196" s="83">
        <v>21</v>
      </c>
      <c r="AO196" s="83">
        <f>L196*0.83539366304334</f>
        <v>0</v>
      </c>
      <c r="AP196" s="83">
        <f>L196*(1-0.83539366304334)</f>
        <v>0</v>
      </c>
      <c r="AQ196" s="85" t="s">
        <v>52</v>
      </c>
      <c r="AV196" s="83">
        <f>AW196+AX196</f>
        <v>0</v>
      </c>
      <c r="AW196" s="83">
        <f>K196*AO196</f>
        <v>0</v>
      </c>
      <c r="AX196" s="83">
        <f>K196*AP196</f>
        <v>0</v>
      </c>
      <c r="AY196" s="85" t="s">
        <v>509</v>
      </c>
      <c r="AZ196" s="85" t="s">
        <v>510</v>
      </c>
      <c r="BA196" s="72" t="s">
        <v>58</v>
      </c>
      <c r="BC196" s="83">
        <f>AW196+AX196</f>
        <v>0</v>
      </c>
      <c r="BD196" s="83">
        <f>L196/(100-BE196)*100</f>
        <v>0</v>
      </c>
      <c r="BE196" s="83">
        <v>0</v>
      </c>
      <c r="BF196" s="83">
        <f>196</f>
        <v>196</v>
      </c>
      <c r="BH196" s="83">
        <f>K196*AO196</f>
        <v>0</v>
      </c>
      <c r="BI196" s="83">
        <f>K196*AP196</f>
        <v>0</v>
      </c>
      <c r="BJ196" s="83">
        <f>K196*L196</f>
        <v>0</v>
      </c>
      <c r="BK196" s="83"/>
      <c r="BL196" s="83">
        <v>56</v>
      </c>
    </row>
    <row r="197" spans="1:13" ht="13.5" customHeight="1">
      <c r="A197" s="86"/>
      <c r="B197" s="90" t="s">
        <v>273</v>
      </c>
      <c r="C197" s="161" t="s">
        <v>546</v>
      </c>
      <c r="D197" s="162"/>
      <c r="E197" s="162"/>
      <c r="F197" s="162"/>
      <c r="G197" s="162"/>
      <c r="H197" s="162"/>
      <c r="I197" s="162"/>
      <c r="J197" s="162"/>
      <c r="K197" s="162"/>
      <c r="L197" s="162"/>
      <c r="M197" s="163"/>
    </row>
    <row r="198" spans="1:13" ht="15" customHeight="1">
      <c r="A198" s="86"/>
      <c r="C198" s="87" t="s">
        <v>1149</v>
      </c>
      <c r="I198" s="87" t="s">
        <v>538</v>
      </c>
      <c r="K198" s="88">
        <v>322</v>
      </c>
      <c r="M198" s="89"/>
    </row>
    <row r="199" spans="1:13" ht="15" customHeight="1">
      <c r="A199" s="86"/>
      <c r="C199" s="87" t="s">
        <v>1156</v>
      </c>
      <c r="I199" s="87" t="s">
        <v>556</v>
      </c>
      <c r="K199" s="88">
        <v>322</v>
      </c>
      <c r="M199" s="89"/>
    </row>
    <row r="200" spans="1:13" ht="15" customHeight="1">
      <c r="A200" s="86"/>
      <c r="C200" s="87" t="s">
        <v>1153</v>
      </c>
      <c r="I200" s="87" t="s">
        <v>88</v>
      </c>
      <c r="K200" s="88">
        <v>-104.05000000000001</v>
      </c>
      <c r="M200" s="89"/>
    </row>
    <row r="201" spans="1:13" ht="15" customHeight="1">
      <c r="A201" s="86"/>
      <c r="C201" s="87" t="s">
        <v>1154</v>
      </c>
      <c r="I201" s="87" t="s">
        <v>90</v>
      </c>
      <c r="K201" s="88">
        <v>-74.71600000000001</v>
      </c>
      <c r="M201" s="89"/>
    </row>
    <row r="202" spans="1:64" ht="15" customHeight="1">
      <c r="A202" s="65" t="s">
        <v>370</v>
      </c>
      <c r="B202" s="66" t="s">
        <v>563</v>
      </c>
      <c r="C202" s="150" t="s">
        <v>564</v>
      </c>
      <c r="D202" s="150"/>
      <c r="E202" s="150"/>
      <c r="F202" s="150"/>
      <c r="G202" s="150"/>
      <c r="H202" s="150"/>
      <c r="I202" s="150"/>
      <c r="J202" s="66" t="s">
        <v>79</v>
      </c>
      <c r="K202" s="83">
        <v>3.6</v>
      </c>
      <c r="L202" s="108"/>
      <c r="M202" s="84">
        <f>K202*L202</f>
        <v>0</v>
      </c>
      <c r="Z202" s="83">
        <f>IF(AQ202="5",BJ202,0)</f>
        <v>0</v>
      </c>
      <c r="AB202" s="83">
        <f>IF(AQ202="1",BH202,0)</f>
        <v>0</v>
      </c>
      <c r="AC202" s="83">
        <f>IF(AQ202="1",BI202,0)</f>
        <v>0</v>
      </c>
      <c r="AD202" s="83">
        <f>IF(AQ202="7",BH202,0)</f>
        <v>0</v>
      </c>
      <c r="AE202" s="83">
        <f>IF(AQ202="7",BI202,0)</f>
        <v>0</v>
      </c>
      <c r="AF202" s="83">
        <f>IF(AQ202="2",BH202,0)</f>
        <v>0</v>
      </c>
      <c r="AG202" s="83">
        <f>IF(AQ202="2",BI202,0)</f>
        <v>0</v>
      </c>
      <c r="AH202" s="83">
        <f>IF(AQ202="0",BJ202,0)</f>
        <v>0</v>
      </c>
      <c r="AI202" s="72" t="s">
        <v>49</v>
      </c>
      <c r="AJ202" s="83">
        <f>IF(AN202=0,M202,0)</f>
        <v>0</v>
      </c>
      <c r="AK202" s="83">
        <f>IF(AN202=15,M202,0)</f>
        <v>0</v>
      </c>
      <c r="AL202" s="83">
        <f>IF(AN202=21,M202,0)</f>
        <v>0</v>
      </c>
      <c r="AN202" s="83">
        <v>21</v>
      </c>
      <c r="AO202" s="83">
        <f>L202*0.57078608448875</f>
        <v>0</v>
      </c>
      <c r="AP202" s="83">
        <f>L202*(1-0.57078608448875)</f>
        <v>0</v>
      </c>
      <c r="AQ202" s="85" t="s">
        <v>52</v>
      </c>
      <c r="AV202" s="83">
        <f>AW202+AX202</f>
        <v>0</v>
      </c>
      <c r="AW202" s="83">
        <f>K202*AO202</f>
        <v>0</v>
      </c>
      <c r="AX202" s="83">
        <f>K202*AP202</f>
        <v>0</v>
      </c>
      <c r="AY202" s="85" t="s">
        <v>509</v>
      </c>
      <c r="AZ202" s="85" t="s">
        <v>510</v>
      </c>
      <c r="BA202" s="72" t="s">
        <v>58</v>
      </c>
      <c r="BC202" s="83">
        <f>AW202+AX202</f>
        <v>0</v>
      </c>
      <c r="BD202" s="83">
        <f>L202/(100-BE202)*100</f>
        <v>0</v>
      </c>
      <c r="BE202" s="83">
        <v>0</v>
      </c>
      <c r="BF202" s="83">
        <f>202</f>
        <v>202</v>
      </c>
      <c r="BH202" s="83">
        <f>K202*AO202</f>
        <v>0</v>
      </c>
      <c r="BI202" s="83">
        <f>K202*AP202</f>
        <v>0</v>
      </c>
      <c r="BJ202" s="83">
        <f>K202*L202</f>
        <v>0</v>
      </c>
      <c r="BK202" s="83"/>
      <c r="BL202" s="83">
        <v>56</v>
      </c>
    </row>
    <row r="203" spans="1:13" ht="15" customHeight="1">
      <c r="A203" s="86"/>
      <c r="C203" s="87" t="s">
        <v>1089</v>
      </c>
      <c r="I203" s="87" t="s">
        <v>49</v>
      </c>
      <c r="K203" s="88">
        <v>3.6</v>
      </c>
      <c r="M203" s="89"/>
    </row>
    <row r="204" spans="1:64" ht="15" customHeight="1">
      <c r="A204" s="65" t="s">
        <v>380</v>
      </c>
      <c r="B204" s="66" t="s">
        <v>566</v>
      </c>
      <c r="C204" s="150" t="s">
        <v>567</v>
      </c>
      <c r="D204" s="150"/>
      <c r="E204" s="150"/>
      <c r="F204" s="150"/>
      <c r="G204" s="150"/>
      <c r="H204" s="150"/>
      <c r="I204" s="150"/>
      <c r="J204" s="66" t="s">
        <v>79</v>
      </c>
      <c r="K204" s="83">
        <v>167</v>
      </c>
      <c r="L204" s="108"/>
      <c r="M204" s="84">
        <f>K204*L204</f>
        <v>0</v>
      </c>
      <c r="Z204" s="83">
        <f>IF(AQ204="5",BJ204,0)</f>
        <v>0</v>
      </c>
      <c r="AB204" s="83">
        <f>IF(AQ204="1",BH204,0)</f>
        <v>0</v>
      </c>
      <c r="AC204" s="83">
        <f>IF(AQ204="1",BI204,0)</f>
        <v>0</v>
      </c>
      <c r="AD204" s="83">
        <f>IF(AQ204="7",BH204,0)</f>
        <v>0</v>
      </c>
      <c r="AE204" s="83">
        <f>IF(AQ204="7",BI204,0)</f>
        <v>0</v>
      </c>
      <c r="AF204" s="83">
        <f>IF(AQ204="2",BH204,0)</f>
        <v>0</v>
      </c>
      <c r="AG204" s="83">
        <f>IF(AQ204="2",BI204,0)</f>
        <v>0</v>
      </c>
      <c r="AH204" s="83">
        <f>IF(AQ204="0",BJ204,0)</f>
        <v>0</v>
      </c>
      <c r="AI204" s="72" t="s">
        <v>49</v>
      </c>
      <c r="AJ204" s="83">
        <f>IF(AN204=0,M204,0)</f>
        <v>0</v>
      </c>
      <c r="AK204" s="83">
        <f>IF(AN204=15,M204,0)</f>
        <v>0</v>
      </c>
      <c r="AL204" s="83">
        <f>IF(AN204=21,M204,0)</f>
        <v>0</v>
      </c>
      <c r="AN204" s="83">
        <v>21</v>
      </c>
      <c r="AO204" s="83">
        <f>L204*0.874507772020725</f>
        <v>0</v>
      </c>
      <c r="AP204" s="83">
        <f>L204*(1-0.874507772020725)</f>
        <v>0</v>
      </c>
      <c r="AQ204" s="85" t="s">
        <v>52</v>
      </c>
      <c r="AV204" s="83">
        <f>AW204+AX204</f>
        <v>0</v>
      </c>
      <c r="AW204" s="83">
        <f>K204*AO204</f>
        <v>0</v>
      </c>
      <c r="AX204" s="83">
        <f>K204*AP204</f>
        <v>0</v>
      </c>
      <c r="AY204" s="85" t="s">
        <v>509</v>
      </c>
      <c r="AZ204" s="85" t="s">
        <v>510</v>
      </c>
      <c r="BA204" s="72" t="s">
        <v>58</v>
      </c>
      <c r="BC204" s="83">
        <f>AW204+AX204</f>
        <v>0</v>
      </c>
      <c r="BD204" s="83">
        <f>L204/(100-BE204)*100</f>
        <v>0</v>
      </c>
      <c r="BE204" s="83">
        <v>0</v>
      </c>
      <c r="BF204" s="83">
        <f>204</f>
        <v>204</v>
      </c>
      <c r="BH204" s="83">
        <f>K204*AO204</f>
        <v>0</v>
      </c>
      <c r="BI204" s="83">
        <f>K204*AP204</f>
        <v>0</v>
      </c>
      <c r="BJ204" s="83">
        <f>K204*L204</f>
        <v>0</v>
      </c>
      <c r="BK204" s="83"/>
      <c r="BL204" s="83">
        <v>56</v>
      </c>
    </row>
    <row r="205" spans="1:13" ht="13.5" customHeight="1">
      <c r="A205" s="86"/>
      <c r="B205" s="90" t="s">
        <v>273</v>
      </c>
      <c r="C205" s="161" t="s">
        <v>546</v>
      </c>
      <c r="D205" s="162"/>
      <c r="E205" s="162"/>
      <c r="F205" s="162"/>
      <c r="G205" s="162"/>
      <c r="H205" s="162"/>
      <c r="I205" s="162"/>
      <c r="J205" s="162"/>
      <c r="K205" s="162"/>
      <c r="L205" s="162"/>
      <c r="M205" s="163"/>
    </row>
    <row r="206" spans="1:13" ht="15" customHeight="1">
      <c r="A206" s="86"/>
      <c r="C206" s="87" t="s">
        <v>1157</v>
      </c>
      <c r="I206" s="87" t="s">
        <v>569</v>
      </c>
      <c r="K206" s="88">
        <v>167</v>
      </c>
      <c r="M206" s="89"/>
    </row>
    <row r="207" spans="1:47" ht="15" customHeight="1">
      <c r="A207" s="78" t="s">
        <v>49</v>
      </c>
      <c r="B207" s="79" t="s">
        <v>363</v>
      </c>
      <c r="C207" s="168" t="s">
        <v>570</v>
      </c>
      <c r="D207" s="168"/>
      <c r="E207" s="168"/>
      <c r="F207" s="168"/>
      <c r="G207" s="168"/>
      <c r="H207" s="168"/>
      <c r="I207" s="168"/>
      <c r="J207" s="80" t="s">
        <v>3</v>
      </c>
      <c r="K207" s="80" t="s">
        <v>3</v>
      </c>
      <c r="L207" s="80" t="s">
        <v>3</v>
      </c>
      <c r="M207" s="81">
        <f>SUM(M208:M208)</f>
        <v>0</v>
      </c>
      <c r="AI207" s="72" t="s">
        <v>49</v>
      </c>
      <c r="AS207" s="82">
        <f>SUM(AJ208:AJ208)</f>
        <v>0</v>
      </c>
      <c r="AT207" s="82">
        <f>SUM(AK208:AK208)</f>
        <v>0</v>
      </c>
      <c r="AU207" s="82">
        <f>SUM(AL208:AL208)</f>
        <v>0</v>
      </c>
    </row>
    <row r="208" spans="1:64" ht="15" customHeight="1">
      <c r="A208" s="65" t="s">
        <v>384</v>
      </c>
      <c r="B208" s="66" t="s">
        <v>575</v>
      </c>
      <c r="C208" s="150" t="s">
        <v>576</v>
      </c>
      <c r="D208" s="150"/>
      <c r="E208" s="150"/>
      <c r="F208" s="150"/>
      <c r="G208" s="150"/>
      <c r="H208" s="150"/>
      <c r="I208" s="150"/>
      <c r="J208" s="66" t="s">
        <v>79</v>
      </c>
      <c r="K208" s="83">
        <v>6</v>
      </c>
      <c r="L208" s="108"/>
      <c r="M208" s="84">
        <f>K208*L208</f>
        <v>0</v>
      </c>
      <c r="Z208" s="83">
        <f>IF(AQ208="5",BJ208,0)</f>
        <v>0</v>
      </c>
      <c r="AB208" s="83">
        <f>IF(AQ208="1",BH208,0)</f>
        <v>0</v>
      </c>
      <c r="AC208" s="83">
        <f>IF(AQ208="1",BI208,0)</f>
        <v>0</v>
      </c>
      <c r="AD208" s="83">
        <f>IF(AQ208="7",BH208,0)</f>
        <v>0</v>
      </c>
      <c r="AE208" s="83">
        <f>IF(AQ208="7",BI208,0)</f>
        <v>0</v>
      </c>
      <c r="AF208" s="83">
        <f>IF(AQ208="2",BH208,0)</f>
        <v>0</v>
      </c>
      <c r="AG208" s="83">
        <f>IF(AQ208="2",BI208,0)</f>
        <v>0</v>
      </c>
      <c r="AH208" s="83">
        <f>IF(AQ208="0",BJ208,0)</f>
        <v>0</v>
      </c>
      <c r="AI208" s="72" t="s">
        <v>49</v>
      </c>
      <c r="AJ208" s="83">
        <f>IF(AN208=0,M208,0)</f>
        <v>0</v>
      </c>
      <c r="AK208" s="83">
        <f>IF(AN208=15,M208,0)</f>
        <v>0</v>
      </c>
      <c r="AL208" s="83">
        <f>IF(AN208=21,M208,0)</f>
        <v>0</v>
      </c>
      <c r="AN208" s="83">
        <v>21</v>
      </c>
      <c r="AO208" s="83">
        <f>L208*0.594883985932926</f>
        <v>0</v>
      </c>
      <c r="AP208" s="83">
        <f>L208*(1-0.594883985932926)</f>
        <v>0</v>
      </c>
      <c r="AQ208" s="85" t="s">
        <v>52</v>
      </c>
      <c r="AV208" s="83">
        <f>AW208+AX208</f>
        <v>0</v>
      </c>
      <c r="AW208" s="83">
        <f>K208*AO208</f>
        <v>0</v>
      </c>
      <c r="AX208" s="83">
        <f>K208*AP208</f>
        <v>0</v>
      </c>
      <c r="AY208" s="85" t="s">
        <v>573</v>
      </c>
      <c r="AZ208" s="85" t="s">
        <v>510</v>
      </c>
      <c r="BA208" s="72" t="s">
        <v>58</v>
      </c>
      <c r="BC208" s="83">
        <f>AW208+AX208</f>
        <v>0</v>
      </c>
      <c r="BD208" s="83">
        <f>L208/(100-BE208)*100</f>
        <v>0</v>
      </c>
      <c r="BE208" s="83">
        <v>0</v>
      </c>
      <c r="BF208" s="83">
        <f>208</f>
        <v>208</v>
      </c>
      <c r="BH208" s="83">
        <f>K208*AO208</f>
        <v>0</v>
      </c>
      <c r="BI208" s="83">
        <f>K208*AP208</f>
        <v>0</v>
      </c>
      <c r="BJ208" s="83">
        <f>K208*L208</f>
        <v>0</v>
      </c>
      <c r="BK208" s="83"/>
      <c r="BL208" s="83">
        <v>57</v>
      </c>
    </row>
    <row r="209" spans="1:13" ht="15" customHeight="1">
      <c r="A209" s="86"/>
      <c r="C209" s="87" t="s">
        <v>1085</v>
      </c>
      <c r="I209" s="87" t="s">
        <v>49</v>
      </c>
      <c r="K209" s="88">
        <v>6.000000000000001</v>
      </c>
      <c r="M209" s="89"/>
    </row>
    <row r="210" spans="1:47" ht="15" customHeight="1">
      <c r="A210" s="78" t="s">
        <v>49</v>
      </c>
      <c r="B210" s="79" t="s">
        <v>380</v>
      </c>
      <c r="C210" s="168" t="s">
        <v>577</v>
      </c>
      <c r="D210" s="168"/>
      <c r="E210" s="168"/>
      <c r="F210" s="168"/>
      <c r="G210" s="168"/>
      <c r="H210" s="168"/>
      <c r="I210" s="168"/>
      <c r="J210" s="80" t="s">
        <v>3</v>
      </c>
      <c r="K210" s="80" t="s">
        <v>3</v>
      </c>
      <c r="L210" s="80" t="s">
        <v>3</v>
      </c>
      <c r="M210" s="81">
        <f>SUM(M211:M263)</f>
        <v>0</v>
      </c>
      <c r="AI210" s="72" t="s">
        <v>49</v>
      </c>
      <c r="AS210" s="82">
        <f>SUM(AJ211:AJ263)</f>
        <v>0</v>
      </c>
      <c r="AT210" s="82">
        <f>SUM(AK211:AK263)</f>
        <v>0</v>
      </c>
      <c r="AU210" s="82">
        <f>SUM(AL211:AL263)</f>
        <v>0</v>
      </c>
    </row>
    <row r="211" spans="1:64" ht="15" customHeight="1">
      <c r="A211" s="65" t="s">
        <v>388</v>
      </c>
      <c r="B211" s="66" t="s">
        <v>579</v>
      </c>
      <c r="C211" s="150" t="s">
        <v>580</v>
      </c>
      <c r="D211" s="150"/>
      <c r="E211" s="150"/>
      <c r="F211" s="150"/>
      <c r="G211" s="150"/>
      <c r="H211" s="150"/>
      <c r="I211" s="150"/>
      <c r="J211" s="66" t="s">
        <v>79</v>
      </c>
      <c r="K211" s="83">
        <v>50.97</v>
      </c>
      <c r="L211" s="108"/>
      <c r="M211" s="84">
        <f>K211*L211</f>
        <v>0</v>
      </c>
      <c r="Z211" s="83">
        <f>IF(AQ211="5",BJ211,0)</f>
        <v>0</v>
      </c>
      <c r="AB211" s="83">
        <f>IF(AQ211="1",BH211,0)</f>
        <v>0</v>
      </c>
      <c r="AC211" s="83">
        <f>IF(AQ211="1",BI211,0)</f>
        <v>0</v>
      </c>
      <c r="AD211" s="83">
        <f>IF(AQ211="7",BH211,0)</f>
        <v>0</v>
      </c>
      <c r="AE211" s="83">
        <f>IF(AQ211="7",BI211,0)</f>
        <v>0</v>
      </c>
      <c r="AF211" s="83">
        <f>IF(AQ211="2",BH211,0)</f>
        <v>0</v>
      </c>
      <c r="AG211" s="83">
        <f>IF(AQ211="2",BI211,0)</f>
        <v>0</v>
      </c>
      <c r="AH211" s="83">
        <f>IF(AQ211="0",BJ211,0)</f>
        <v>0</v>
      </c>
      <c r="AI211" s="72" t="s">
        <v>49</v>
      </c>
      <c r="AJ211" s="83">
        <f>IF(AN211=0,M211,0)</f>
        <v>0</v>
      </c>
      <c r="AK211" s="83">
        <f>IF(AN211=15,M211,0)</f>
        <v>0</v>
      </c>
      <c r="AL211" s="83">
        <f>IF(AN211=21,M211,0)</f>
        <v>0</v>
      </c>
      <c r="AN211" s="83">
        <v>21</v>
      </c>
      <c r="AO211" s="83">
        <f>L211*0.0988629283489097</f>
        <v>0</v>
      </c>
      <c r="AP211" s="83">
        <f>L211*(1-0.0988629283489097)</f>
        <v>0</v>
      </c>
      <c r="AQ211" s="85" t="s">
        <v>52</v>
      </c>
      <c r="AV211" s="83">
        <f>AW211+AX211</f>
        <v>0</v>
      </c>
      <c r="AW211" s="83">
        <f>K211*AO211</f>
        <v>0</v>
      </c>
      <c r="AX211" s="83">
        <f>K211*AP211</f>
        <v>0</v>
      </c>
      <c r="AY211" s="85" t="s">
        <v>581</v>
      </c>
      <c r="AZ211" s="85" t="s">
        <v>510</v>
      </c>
      <c r="BA211" s="72" t="s">
        <v>58</v>
      </c>
      <c r="BC211" s="83">
        <f>AW211+AX211</f>
        <v>0</v>
      </c>
      <c r="BD211" s="83">
        <f>L211/(100-BE211)*100</f>
        <v>0</v>
      </c>
      <c r="BE211" s="83">
        <v>0</v>
      </c>
      <c r="BF211" s="83">
        <f>211</f>
        <v>211</v>
      </c>
      <c r="BH211" s="83">
        <f>K211*AO211</f>
        <v>0</v>
      </c>
      <c r="BI211" s="83">
        <f>K211*AP211</f>
        <v>0</v>
      </c>
      <c r="BJ211" s="83">
        <f>K211*L211</f>
        <v>0</v>
      </c>
      <c r="BK211" s="83"/>
      <c r="BL211" s="83">
        <v>59</v>
      </c>
    </row>
    <row r="212" spans="1:13" ht="15" customHeight="1">
      <c r="A212" s="86"/>
      <c r="C212" s="87" t="s">
        <v>863</v>
      </c>
      <c r="I212" s="87" t="s">
        <v>583</v>
      </c>
      <c r="K212" s="88">
        <v>152</v>
      </c>
      <c r="M212" s="89"/>
    </row>
    <row r="213" spans="1:13" ht="15" customHeight="1">
      <c r="A213" s="86"/>
      <c r="C213" s="87" t="s">
        <v>1147</v>
      </c>
      <c r="I213" s="87" t="s">
        <v>88</v>
      </c>
      <c r="K213" s="88">
        <v>-67.29</v>
      </c>
      <c r="M213" s="89"/>
    </row>
    <row r="214" spans="1:13" ht="15" customHeight="1">
      <c r="A214" s="86"/>
      <c r="C214" s="87" t="s">
        <v>1148</v>
      </c>
      <c r="I214" s="87" t="s">
        <v>90</v>
      </c>
      <c r="K214" s="88">
        <v>-33.74</v>
      </c>
      <c r="M214" s="89"/>
    </row>
    <row r="215" spans="1:13" ht="40.5" customHeight="1">
      <c r="A215" s="86"/>
      <c r="B215" s="90" t="s">
        <v>60</v>
      </c>
      <c r="C215" s="161" t="s">
        <v>586</v>
      </c>
      <c r="D215" s="162"/>
      <c r="E215" s="162"/>
      <c r="F215" s="162"/>
      <c r="G215" s="162"/>
      <c r="H215" s="162"/>
      <c r="I215" s="162"/>
      <c r="J215" s="162"/>
      <c r="K215" s="162"/>
      <c r="L215" s="162"/>
      <c r="M215" s="163"/>
    </row>
    <row r="216" spans="1:64" ht="15" customHeight="1">
      <c r="A216" s="65" t="s">
        <v>391</v>
      </c>
      <c r="B216" s="66" t="s">
        <v>587</v>
      </c>
      <c r="C216" s="150" t="s">
        <v>588</v>
      </c>
      <c r="D216" s="150"/>
      <c r="E216" s="150"/>
      <c r="F216" s="150"/>
      <c r="G216" s="150"/>
      <c r="H216" s="150"/>
      <c r="I216" s="150"/>
      <c r="J216" s="66" t="s">
        <v>79</v>
      </c>
      <c r="K216" s="83">
        <v>51.9894</v>
      </c>
      <c r="L216" s="108"/>
      <c r="M216" s="84">
        <f>K216*L216</f>
        <v>0</v>
      </c>
      <c r="Z216" s="83">
        <f>IF(AQ216="5",BJ216,0)</f>
        <v>0</v>
      </c>
      <c r="AB216" s="83">
        <f>IF(AQ216="1",BH216,0)</f>
        <v>0</v>
      </c>
      <c r="AC216" s="83">
        <f>IF(AQ216="1",BI216,0)</f>
        <v>0</v>
      </c>
      <c r="AD216" s="83">
        <f>IF(AQ216="7",BH216,0)</f>
        <v>0</v>
      </c>
      <c r="AE216" s="83">
        <f>IF(AQ216="7",BI216,0)</f>
        <v>0</v>
      </c>
      <c r="AF216" s="83">
        <f>IF(AQ216="2",BH216,0)</f>
        <v>0</v>
      </c>
      <c r="AG216" s="83">
        <f>IF(AQ216="2",BI216,0)</f>
        <v>0</v>
      </c>
      <c r="AH216" s="83">
        <f>IF(AQ216="0",BJ216,0)</f>
        <v>0</v>
      </c>
      <c r="AI216" s="72" t="s">
        <v>49</v>
      </c>
      <c r="AJ216" s="83">
        <f>IF(AN216=0,M216,0)</f>
        <v>0</v>
      </c>
      <c r="AK216" s="83">
        <f>IF(AN216=15,M216,0)</f>
        <v>0</v>
      </c>
      <c r="AL216" s="83">
        <f>IF(AN216=21,M216,0)</f>
        <v>0</v>
      </c>
      <c r="AN216" s="83">
        <v>21</v>
      </c>
      <c r="AO216" s="83">
        <f>L216*1</f>
        <v>0</v>
      </c>
      <c r="AP216" s="83">
        <f>L216*(1-1)</f>
        <v>0</v>
      </c>
      <c r="AQ216" s="85" t="s">
        <v>52</v>
      </c>
      <c r="AV216" s="83">
        <f>AW216+AX216</f>
        <v>0</v>
      </c>
      <c r="AW216" s="83">
        <f>K216*AO216</f>
        <v>0</v>
      </c>
      <c r="AX216" s="83">
        <f>K216*AP216</f>
        <v>0</v>
      </c>
      <c r="AY216" s="85" t="s">
        <v>581</v>
      </c>
      <c r="AZ216" s="85" t="s">
        <v>510</v>
      </c>
      <c r="BA216" s="72" t="s">
        <v>58</v>
      </c>
      <c r="BC216" s="83">
        <f>AW216+AX216</f>
        <v>0</v>
      </c>
      <c r="BD216" s="83">
        <f>L216/(100-BE216)*100</f>
        <v>0</v>
      </c>
      <c r="BE216" s="83">
        <v>0</v>
      </c>
      <c r="BF216" s="83">
        <f>216</f>
        <v>216</v>
      </c>
      <c r="BH216" s="83">
        <f>K216*AO216</f>
        <v>0</v>
      </c>
      <c r="BI216" s="83">
        <f>K216*AP216</f>
        <v>0</v>
      </c>
      <c r="BJ216" s="83">
        <f>K216*L216</f>
        <v>0</v>
      </c>
      <c r="BK216" s="83"/>
      <c r="BL216" s="83">
        <v>59</v>
      </c>
    </row>
    <row r="217" spans="1:13" ht="15" customHeight="1">
      <c r="A217" s="86"/>
      <c r="C217" s="87" t="s">
        <v>863</v>
      </c>
      <c r="I217" s="87" t="s">
        <v>127</v>
      </c>
      <c r="K217" s="88">
        <v>152</v>
      </c>
      <c r="M217" s="89"/>
    </row>
    <row r="218" spans="1:13" ht="15" customHeight="1">
      <c r="A218" s="86"/>
      <c r="C218" s="87" t="s">
        <v>1147</v>
      </c>
      <c r="I218" s="87" t="s">
        <v>88</v>
      </c>
      <c r="K218" s="88">
        <v>-67.29</v>
      </c>
      <c r="M218" s="89"/>
    </row>
    <row r="219" spans="1:13" ht="15" customHeight="1">
      <c r="A219" s="86"/>
      <c r="C219" s="87" t="s">
        <v>1148</v>
      </c>
      <c r="I219" s="87" t="s">
        <v>90</v>
      </c>
      <c r="K219" s="88">
        <v>-33.74</v>
      </c>
      <c r="M219" s="89"/>
    </row>
    <row r="220" spans="1:13" ht="15" customHeight="1">
      <c r="A220" s="86"/>
      <c r="C220" s="87" t="s">
        <v>1158</v>
      </c>
      <c r="I220" s="87" t="s">
        <v>49</v>
      </c>
      <c r="K220" s="88">
        <v>1.0194</v>
      </c>
      <c r="M220" s="89"/>
    </row>
    <row r="221" spans="1:64" ht="15" customHeight="1">
      <c r="A221" s="65" t="s">
        <v>394</v>
      </c>
      <c r="B221" s="66" t="s">
        <v>608</v>
      </c>
      <c r="C221" s="150" t="s">
        <v>609</v>
      </c>
      <c r="D221" s="150"/>
      <c r="E221" s="150"/>
      <c r="F221" s="150"/>
      <c r="G221" s="150"/>
      <c r="H221" s="150"/>
      <c r="I221" s="150"/>
      <c r="J221" s="66" t="s">
        <v>55</v>
      </c>
      <c r="K221" s="83">
        <v>3</v>
      </c>
      <c r="L221" s="108"/>
      <c r="M221" s="84">
        <f>K221*L221</f>
        <v>0</v>
      </c>
      <c r="Z221" s="83">
        <f>IF(AQ221="5",BJ221,0)</f>
        <v>0</v>
      </c>
      <c r="AB221" s="83">
        <f>IF(AQ221="1",BH221,0)</f>
        <v>0</v>
      </c>
      <c r="AC221" s="83">
        <f>IF(AQ221="1",BI221,0)</f>
        <v>0</v>
      </c>
      <c r="AD221" s="83">
        <f>IF(AQ221="7",BH221,0)</f>
        <v>0</v>
      </c>
      <c r="AE221" s="83">
        <f>IF(AQ221="7",BI221,0)</f>
        <v>0</v>
      </c>
      <c r="AF221" s="83">
        <f>IF(AQ221="2",BH221,0)</f>
        <v>0</v>
      </c>
      <c r="AG221" s="83">
        <f>IF(AQ221="2",BI221,0)</f>
        <v>0</v>
      </c>
      <c r="AH221" s="83">
        <f>IF(AQ221="0",BJ221,0)</f>
        <v>0</v>
      </c>
      <c r="AI221" s="72" t="s">
        <v>49</v>
      </c>
      <c r="AJ221" s="83">
        <f>IF(AN221=0,M221,0)</f>
        <v>0</v>
      </c>
      <c r="AK221" s="83">
        <f>IF(AN221=15,M221,0)</f>
        <v>0</v>
      </c>
      <c r="AL221" s="83">
        <f>IF(AN221=21,M221,0)</f>
        <v>0</v>
      </c>
      <c r="AN221" s="83">
        <v>21</v>
      </c>
      <c r="AO221" s="83">
        <f>L221*0.317913669064748</f>
        <v>0</v>
      </c>
      <c r="AP221" s="83">
        <f>L221*(1-0.317913669064748)</f>
        <v>0</v>
      </c>
      <c r="AQ221" s="85" t="s">
        <v>52</v>
      </c>
      <c r="AV221" s="83">
        <f>AW221+AX221</f>
        <v>0</v>
      </c>
      <c r="AW221" s="83">
        <f>K221*AO221</f>
        <v>0</v>
      </c>
      <c r="AX221" s="83">
        <f>K221*AP221</f>
        <v>0</v>
      </c>
      <c r="AY221" s="85" t="s">
        <v>581</v>
      </c>
      <c r="AZ221" s="85" t="s">
        <v>510</v>
      </c>
      <c r="BA221" s="72" t="s">
        <v>58</v>
      </c>
      <c r="BC221" s="83">
        <f>AW221+AX221</f>
        <v>0</v>
      </c>
      <c r="BD221" s="83">
        <f>L221/(100-BE221)*100</f>
        <v>0</v>
      </c>
      <c r="BE221" s="83">
        <v>0</v>
      </c>
      <c r="BF221" s="83">
        <f>221</f>
        <v>221</v>
      </c>
      <c r="BH221" s="83">
        <f>K221*AO221</f>
        <v>0</v>
      </c>
      <c r="BI221" s="83">
        <f>K221*AP221</f>
        <v>0</v>
      </c>
      <c r="BJ221" s="83">
        <f>K221*L221</f>
        <v>0</v>
      </c>
      <c r="BK221" s="83"/>
      <c r="BL221" s="83">
        <v>59</v>
      </c>
    </row>
    <row r="222" spans="1:13" ht="15" customHeight="1">
      <c r="A222" s="86"/>
      <c r="C222" s="87" t="s">
        <v>65</v>
      </c>
      <c r="I222" s="87" t="s">
        <v>49</v>
      </c>
      <c r="K222" s="88">
        <v>3.0000000000000004</v>
      </c>
      <c r="M222" s="89"/>
    </row>
    <row r="223" spans="1:13" ht="54" customHeight="1">
      <c r="A223" s="86"/>
      <c r="B223" s="90" t="s">
        <v>60</v>
      </c>
      <c r="C223" s="161" t="s">
        <v>610</v>
      </c>
      <c r="D223" s="162"/>
      <c r="E223" s="162"/>
      <c r="F223" s="162"/>
      <c r="G223" s="162"/>
      <c r="H223" s="162"/>
      <c r="I223" s="162"/>
      <c r="J223" s="162"/>
      <c r="K223" s="162"/>
      <c r="L223" s="162"/>
      <c r="M223" s="163"/>
    </row>
    <row r="224" spans="1:64" ht="15" customHeight="1">
      <c r="A224" s="65" t="s">
        <v>397</v>
      </c>
      <c r="B224" s="66" t="s">
        <v>612</v>
      </c>
      <c r="C224" s="150" t="s">
        <v>613</v>
      </c>
      <c r="D224" s="150"/>
      <c r="E224" s="150"/>
      <c r="F224" s="150"/>
      <c r="G224" s="150"/>
      <c r="H224" s="150"/>
      <c r="I224" s="150"/>
      <c r="J224" s="66" t="s">
        <v>55</v>
      </c>
      <c r="K224" s="83">
        <v>3</v>
      </c>
      <c r="L224" s="108"/>
      <c r="M224" s="84">
        <f>K224*L224</f>
        <v>0</v>
      </c>
      <c r="Z224" s="83">
        <f>IF(AQ224="5",BJ224,0)</f>
        <v>0</v>
      </c>
      <c r="AB224" s="83">
        <f>IF(AQ224="1",BH224,0)</f>
        <v>0</v>
      </c>
      <c r="AC224" s="83">
        <f>IF(AQ224="1",BI224,0)</f>
        <v>0</v>
      </c>
      <c r="AD224" s="83">
        <f>IF(AQ224="7",BH224,0)</f>
        <v>0</v>
      </c>
      <c r="AE224" s="83">
        <f>IF(AQ224="7",BI224,0)</f>
        <v>0</v>
      </c>
      <c r="AF224" s="83">
        <f>IF(AQ224="2",BH224,0)</f>
        <v>0</v>
      </c>
      <c r="AG224" s="83">
        <f>IF(AQ224="2",BI224,0)</f>
        <v>0</v>
      </c>
      <c r="AH224" s="83">
        <f>IF(AQ224="0",BJ224,0)</f>
        <v>0</v>
      </c>
      <c r="AI224" s="72" t="s">
        <v>49</v>
      </c>
      <c r="AJ224" s="83">
        <f>IF(AN224=0,M224,0)</f>
        <v>0</v>
      </c>
      <c r="AK224" s="83">
        <f>IF(AN224=15,M224,0)</f>
        <v>0</v>
      </c>
      <c r="AL224" s="83">
        <f>IF(AN224=21,M224,0)</f>
        <v>0</v>
      </c>
      <c r="AN224" s="83">
        <v>21</v>
      </c>
      <c r="AO224" s="83">
        <f>L224*1</f>
        <v>0</v>
      </c>
      <c r="AP224" s="83">
        <f>L224*(1-1)</f>
        <v>0</v>
      </c>
      <c r="AQ224" s="85" t="s">
        <v>52</v>
      </c>
      <c r="AV224" s="83">
        <f>AW224+AX224</f>
        <v>0</v>
      </c>
      <c r="AW224" s="83">
        <f>K224*AO224</f>
        <v>0</v>
      </c>
      <c r="AX224" s="83">
        <f>K224*AP224</f>
        <v>0</v>
      </c>
      <c r="AY224" s="85" t="s">
        <v>581</v>
      </c>
      <c r="AZ224" s="85" t="s">
        <v>510</v>
      </c>
      <c r="BA224" s="72" t="s">
        <v>58</v>
      </c>
      <c r="BC224" s="83">
        <f>AW224+AX224</f>
        <v>0</v>
      </c>
      <c r="BD224" s="83">
        <f>L224/(100-BE224)*100</f>
        <v>0</v>
      </c>
      <c r="BE224" s="83">
        <v>0</v>
      </c>
      <c r="BF224" s="83">
        <f>224</f>
        <v>224</v>
      </c>
      <c r="BH224" s="83">
        <f>K224*AO224</f>
        <v>0</v>
      </c>
      <c r="BI224" s="83">
        <f>K224*AP224</f>
        <v>0</v>
      </c>
      <c r="BJ224" s="83">
        <f>K224*L224</f>
        <v>0</v>
      </c>
      <c r="BK224" s="83"/>
      <c r="BL224" s="83">
        <v>59</v>
      </c>
    </row>
    <row r="225" spans="1:13" ht="15" customHeight="1">
      <c r="A225" s="86"/>
      <c r="C225" s="87" t="s">
        <v>65</v>
      </c>
      <c r="I225" s="87" t="s">
        <v>49</v>
      </c>
      <c r="K225" s="88">
        <v>3.0000000000000004</v>
      </c>
      <c r="M225" s="89"/>
    </row>
    <row r="226" spans="1:13" ht="27" customHeight="1">
      <c r="A226" s="86"/>
      <c r="B226" s="90" t="s">
        <v>60</v>
      </c>
      <c r="C226" s="161" t="s">
        <v>614</v>
      </c>
      <c r="D226" s="162"/>
      <c r="E226" s="162"/>
      <c r="F226" s="162"/>
      <c r="G226" s="162"/>
      <c r="H226" s="162"/>
      <c r="I226" s="162"/>
      <c r="J226" s="162"/>
      <c r="K226" s="162"/>
      <c r="L226" s="162"/>
      <c r="M226" s="163"/>
    </row>
    <row r="227" spans="1:64" ht="15" customHeight="1">
      <c r="A227" s="65" t="s">
        <v>406</v>
      </c>
      <c r="B227" s="66" t="s">
        <v>616</v>
      </c>
      <c r="C227" s="150" t="s">
        <v>617</v>
      </c>
      <c r="D227" s="150"/>
      <c r="E227" s="150"/>
      <c r="F227" s="150"/>
      <c r="G227" s="150"/>
      <c r="H227" s="150"/>
      <c r="I227" s="150"/>
      <c r="J227" s="66" t="s">
        <v>55</v>
      </c>
      <c r="K227" s="83">
        <v>3</v>
      </c>
      <c r="L227" s="108"/>
      <c r="M227" s="84">
        <f>K227*L227</f>
        <v>0</v>
      </c>
      <c r="Z227" s="83">
        <f>IF(AQ227="5",BJ227,0)</f>
        <v>0</v>
      </c>
      <c r="AB227" s="83">
        <f>IF(AQ227="1",BH227,0)</f>
        <v>0</v>
      </c>
      <c r="AC227" s="83">
        <f>IF(AQ227="1",BI227,0)</f>
        <v>0</v>
      </c>
      <c r="AD227" s="83">
        <f>IF(AQ227="7",BH227,0)</f>
        <v>0</v>
      </c>
      <c r="AE227" s="83">
        <f>IF(AQ227="7",BI227,0)</f>
        <v>0</v>
      </c>
      <c r="AF227" s="83">
        <f>IF(AQ227="2",BH227,0)</f>
        <v>0</v>
      </c>
      <c r="AG227" s="83">
        <f>IF(AQ227="2",BI227,0)</f>
        <v>0</v>
      </c>
      <c r="AH227" s="83">
        <f>IF(AQ227="0",BJ227,0)</f>
        <v>0</v>
      </c>
      <c r="AI227" s="72" t="s">
        <v>49</v>
      </c>
      <c r="AJ227" s="83">
        <f>IF(AN227=0,M227,0)</f>
        <v>0</v>
      </c>
      <c r="AK227" s="83">
        <f>IF(AN227=15,M227,0)</f>
        <v>0</v>
      </c>
      <c r="AL227" s="83">
        <f>IF(AN227=21,M227,0)</f>
        <v>0</v>
      </c>
      <c r="AN227" s="83">
        <v>21</v>
      </c>
      <c r="AO227" s="83">
        <f>L227*0.985993543856593</f>
        <v>0</v>
      </c>
      <c r="AP227" s="83">
        <f>L227*(1-0.985993543856593)</f>
        <v>0</v>
      </c>
      <c r="AQ227" s="85" t="s">
        <v>52</v>
      </c>
      <c r="AV227" s="83">
        <f>AW227+AX227</f>
        <v>0</v>
      </c>
      <c r="AW227" s="83">
        <f>K227*AO227</f>
        <v>0</v>
      </c>
      <c r="AX227" s="83">
        <f>K227*AP227</f>
        <v>0</v>
      </c>
      <c r="AY227" s="85" t="s">
        <v>581</v>
      </c>
      <c r="AZ227" s="85" t="s">
        <v>510</v>
      </c>
      <c r="BA227" s="72" t="s">
        <v>58</v>
      </c>
      <c r="BC227" s="83">
        <f>AW227+AX227</f>
        <v>0</v>
      </c>
      <c r="BD227" s="83">
        <f>L227/(100-BE227)*100</f>
        <v>0</v>
      </c>
      <c r="BE227" s="83">
        <v>0</v>
      </c>
      <c r="BF227" s="83">
        <f>227</f>
        <v>227</v>
      </c>
      <c r="BH227" s="83">
        <f>K227*AO227</f>
        <v>0</v>
      </c>
      <c r="BI227" s="83">
        <f>K227*AP227</f>
        <v>0</v>
      </c>
      <c r="BJ227" s="83">
        <f>K227*L227</f>
        <v>0</v>
      </c>
      <c r="BK227" s="83"/>
      <c r="BL227" s="83">
        <v>59</v>
      </c>
    </row>
    <row r="228" spans="1:13" ht="13.5" customHeight="1">
      <c r="A228" s="86"/>
      <c r="B228" s="90" t="s">
        <v>273</v>
      </c>
      <c r="C228" s="161" t="s">
        <v>618</v>
      </c>
      <c r="D228" s="162"/>
      <c r="E228" s="162"/>
      <c r="F228" s="162"/>
      <c r="G228" s="162"/>
      <c r="H228" s="162"/>
      <c r="I228" s="162"/>
      <c r="J228" s="162"/>
      <c r="K228" s="162"/>
      <c r="L228" s="162"/>
      <c r="M228" s="163"/>
    </row>
    <row r="229" spans="1:13" ht="15" customHeight="1">
      <c r="A229" s="86"/>
      <c r="C229" s="87" t="s">
        <v>65</v>
      </c>
      <c r="I229" s="87" t="s">
        <v>49</v>
      </c>
      <c r="K229" s="88">
        <v>3.0000000000000004</v>
      </c>
      <c r="M229" s="89"/>
    </row>
    <row r="230" spans="1:13" ht="27" customHeight="1">
      <c r="A230" s="86"/>
      <c r="B230" s="90" t="s">
        <v>60</v>
      </c>
      <c r="C230" s="161" t="s">
        <v>619</v>
      </c>
      <c r="D230" s="162"/>
      <c r="E230" s="162"/>
      <c r="F230" s="162"/>
      <c r="G230" s="162"/>
      <c r="H230" s="162"/>
      <c r="I230" s="162"/>
      <c r="J230" s="162"/>
      <c r="K230" s="162"/>
      <c r="L230" s="162"/>
      <c r="M230" s="163"/>
    </row>
    <row r="231" spans="1:64" ht="15" customHeight="1">
      <c r="A231" s="91" t="s">
        <v>422</v>
      </c>
      <c r="B231" s="92" t="s">
        <v>638</v>
      </c>
      <c r="C231" s="169" t="s">
        <v>639</v>
      </c>
      <c r="D231" s="150"/>
      <c r="E231" s="150"/>
      <c r="F231" s="150"/>
      <c r="G231" s="150"/>
      <c r="H231" s="150"/>
      <c r="I231" s="169"/>
      <c r="J231" s="92" t="s">
        <v>79</v>
      </c>
      <c r="K231" s="93">
        <v>170.634</v>
      </c>
      <c r="L231" s="108"/>
      <c r="M231" s="94">
        <f>K231*L231</f>
        <v>0</v>
      </c>
      <c r="Z231" s="83">
        <f>IF(AQ231="5",BJ231,0)</f>
        <v>0</v>
      </c>
      <c r="AB231" s="83">
        <f>IF(AQ231="1",BH231,0)</f>
        <v>0</v>
      </c>
      <c r="AC231" s="83">
        <f>IF(AQ231="1",BI231,0)</f>
        <v>0</v>
      </c>
      <c r="AD231" s="83">
        <f>IF(AQ231="7",BH231,0)</f>
        <v>0</v>
      </c>
      <c r="AE231" s="83">
        <f>IF(AQ231="7",BI231,0)</f>
        <v>0</v>
      </c>
      <c r="AF231" s="83">
        <f>IF(AQ231="2",BH231,0)</f>
        <v>0</v>
      </c>
      <c r="AG231" s="83">
        <f>IF(AQ231="2",BI231,0)</f>
        <v>0</v>
      </c>
      <c r="AH231" s="83">
        <f>IF(AQ231="0",BJ231,0)</f>
        <v>0</v>
      </c>
      <c r="AI231" s="72" t="s">
        <v>49</v>
      </c>
      <c r="AJ231" s="83">
        <f>IF(AN231=0,M231,0)</f>
        <v>0</v>
      </c>
      <c r="AK231" s="83">
        <f>IF(AN231=15,M231,0)</f>
        <v>0</v>
      </c>
      <c r="AL231" s="83">
        <f>IF(AN231=21,M231,0)</f>
        <v>0</v>
      </c>
      <c r="AN231" s="83">
        <v>21</v>
      </c>
      <c r="AO231" s="83">
        <f>L231*0.12489289575663</f>
        <v>0</v>
      </c>
      <c r="AP231" s="83">
        <f>L231*(1-0.12489289575663)</f>
        <v>0</v>
      </c>
      <c r="AQ231" s="85" t="s">
        <v>52</v>
      </c>
      <c r="AV231" s="83">
        <f>AW231+AX231</f>
        <v>0</v>
      </c>
      <c r="AW231" s="83">
        <f>K231*AO231</f>
        <v>0</v>
      </c>
      <c r="AX231" s="83">
        <f>K231*AP231</f>
        <v>0</v>
      </c>
      <c r="AY231" s="85" t="s">
        <v>581</v>
      </c>
      <c r="AZ231" s="85" t="s">
        <v>510</v>
      </c>
      <c r="BA231" s="72" t="s">
        <v>58</v>
      </c>
      <c r="BC231" s="83">
        <f>AW231+AX231</f>
        <v>0</v>
      </c>
      <c r="BD231" s="83">
        <f>L231/(100-BE231)*100</f>
        <v>0</v>
      </c>
      <c r="BE231" s="83">
        <v>0</v>
      </c>
      <c r="BF231" s="83">
        <f>231</f>
        <v>231</v>
      </c>
      <c r="BH231" s="83">
        <f>K231*AO231</f>
        <v>0</v>
      </c>
      <c r="BI231" s="83">
        <f>K231*AP231</f>
        <v>0</v>
      </c>
      <c r="BJ231" s="83">
        <f>K231*L231</f>
        <v>0</v>
      </c>
      <c r="BK231" s="83"/>
      <c r="BL231" s="83">
        <v>59</v>
      </c>
    </row>
    <row r="232" spans="1:13" ht="15" customHeight="1">
      <c r="A232" s="95"/>
      <c r="B232" s="96"/>
      <c r="C232" s="97" t="s">
        <v>1159</v>
      </c>
      <c r="I232" s="97" t="s">
        <v>49</v>
      </c>
      <c r="J232" s="96"/>
      <c r="K232" s="98">
        <v>354.00000000000006</v>
      </c>
      <c r="L232" s="96"/>
      <c r="M232" s="99"/>
    </row>
    <row r="233" spans="1:13" ht="15" customHeight="1">
      <c r="A233" s="95"/>
      <c r="B233" s="96"/>
      <c r="C233" s="97" t="s">
        <v>1160</v>
      </c>
      <c r="I233" s="97" t="s">
        <v>642</v>
      </c>
      <c r="J233" s="96"/>
      <c r="K233" s="98">
        <v>-4.6000000000000005</v>
      </c>
      <c r="L233" s="96"/>
      <c r="M233" s="99"/>
    </row>
    <row r="234" spans="1:13" ht="15" customHeight="1">
      <c r="A234" s="95"/>
      <c r="B234" s="96"/>
      <c r="C234" s="97" t="s">
        <v>1153</v>
      </c>
      <c r="I234" s="97" t="s">
        <v>88</v>
      </c>
      <c r="J234" s="96"/>
      <c r="K234" s="98">
        <v>-104.05000000000001</v>
      </c>
      <c r="L234" s="96"/>
      <c r="M234" s="99"/>
    </row>
    <row r="235" spans="1:13" ht="15" customHeight="1">
      <c r="A235" s="95"/>
      <c r="B235" s="96"/>
      <c r="C235" s="97" t="s">
        <v>1154</v>
      </c>
      <c r="I235" s="97" t="s">
        <v>90</v>
      </c>
      <c r="J235" s="96"/>
      <c r="K235" s="98">
        <v>-74.71600000000001</v>
      </c>
      <c r="L235" s="96"/>
      <c r="M235" s="99"/>
    </row>
    <row r="236" spans="1:64" ht="15" customHeight="1">
      <c r="A236" s="65" t="s">
        <v>433</v>
      </c>
      <c r="B236" s="66" t="s">
        <v>646</v>
      </c>
      <c r="C236" s="150" t="s">
        <v>647</v>
      </c>
      <c r="D236" s="150"/>
      <c r="E236" s="150"/>
      <c r="F236" s="150"/>
      <c r="G236" s="150"/>
      <c r="H236" s="150"/>
      <c r="I236" s="150"/>
      <c r="J236" s="66" t="s">
        <v>79</v>
      </c>
      <c r="K236" s="83">
        <v>174.04668</v>
      </c>
      <c r="L236" s="108"/>
      <c r="M236" s="84">
        <f>K236*L236</f>
        <v>0</v>
      </c>
      <c r="Z236" s="83">
        <f>IF(AQ236="5",BJ236,0)</f>
        <v>0</v>
      </c>
      <c r="AB236" s="83">
        <f>IF(AQ236="1",BH236,0)</f>
        <v>0</v>
      </c>
      <c r="AC236" s="83">
        <f>IF(AQ236="1",BI236,0)</f>
        <v>0</v>
      </c>
      <c r="AD236" s="83">
        <f>IF(AQ236="7",BH236,0)</f>
        <v>0</v>
      </c>
      <c r="AE236" s="83">
        <f>IF(AQ236="7",BI236,0)</f>
        <v>0</v>
      </c>
      <c r="AF236" s="83">
        <f>IF(AQ236="2",BH236,0)</f>
        <v>0</v>
      </c>
      <c r="AG236" s="83">
        <f>IF(AQ236="2",BI236,0)</f>
        <v>0</v>
      </c>
      <c r="AH236" s="83">
        <f>IF(AQ236="0",BJ236,0)</f>
        <v>0</v>
      </c>
      <c r="AI236" s="72" t="s">
        <v>49</v>
      </c>
      <c r="AJ236" s="83">
        <f>IF(AN236=0,M236,0)</f>
        <v>0</v>
      </c>
      <c r="AK236" s="83">
        <f>IF(AN236=15,M236,0)</f>
        <v>0</v>
      </c>
      <c r="AL236" s="83">
        <f>IF(AN236=21,M236,0)</f>
        <v>0</v>
      </c>
      <c r="AN236" s="83">
        <v>21</v>
      </c>
      <c r="AO236" s="83">
        <f>L236*1</f>
        <v>0</v>
      </c>
      <c r="AP236" s="83">
        <f>L236*(1-1)</f>
        <v>0</v>
      </c>
      <c r="AQ236" s="85" t="s">
        <v>52</v>
      </c>
      <c r="AV236" s="83">
        <f>AW236+AX236</f>
        <v>0</v>
      </c>
      <c r="AW236" s="83">
        <f>K236*AO236</f>
        <v>0</v>
      </c>
      <c r="AX236" s="83">
        <f>K236*AP236</f>
        <v>0</v>
      </c>
      <c r="AY236" s="85" t="s">
        <v>581</v>
      </c>
      <c r="AZ236" s="85" t="s">
        <v>510</v>
      </c>
      <c r="BA236" s="72" t="s">
        <v>58</v>
      </c>
      <c r="BC236" s="83">
        <f>AW236+AX236</f>
        <v>0</v>
      </c>
      <c r="BD236" s="83">
        <f>L236/(100-BE236)*100</f>
        <v>0</v>
      </c>
      <c r="BE236" s="83">
        <v>0</v>
      </c>
      <c r="BF236" s="83">
        <f>236</f>
        <v>236</v>
      </c>
      <c r="BH236" s="83">
        <f>K236*AO236</f>
        <v>0</v>
      </c>
      <c r="BI236" s="83">
        <f>K236*AP236</f>
        <v>0</v>
      </c>
      <c r="BJ236" s="83">
        <f>K236*L236</f>
        <v>0</v>
      </c>
      <c r="BK236" s="83"/>
      <c r="BL236" s="83">
        <v>59</v>
      </c>
    </row>
    <row r="237" spans="1:13" ht="15" customHeight="1">
      <c r="A237" s="86"/>
      <c r="C237" s="87" t="s">
        <v>1161</v>
      </c>
      <c r="I237" s="87" t="s">
        <v>49</v>
      </c>
      <c r="K237" s="88">
        <v>349.40000000000003</v>
      </c>
      <c r="M237" s="89"/>
    </row>
    <row r="238" spans="1:13" ht="15" customHeight="1">
      <c r="A238" s="86"/>
      <c r="C238" s="87" t="s">
        <v>1153</v>
      </c>
      <c r="I238" s="87" t="s">
        <v>88</v>
      </c>
      <c r="K238" s="88">
        <v>-104.05000000000001</v>
      </c>
      <c r="M238" s="89"/>
    </row>
    <row r="239" spans="1:13" ht="15" customHeight="1">
      <c r="A239" s="86"/>
      <c r="C239" s="87" t="s">
        <v>1154</v>
      </c>
      <c r="I239" s="87" t="s">
        <v>90</v>
      </c>
      <c r="K239" s="88">
        <v>-74.71600000000001</v>
      </c>
      <c r="M239" s="89"/>
    </row>
    <row r="240" spans="1:13" ht="15" customHeight="1">
      <c r="A240" s="86"/>
      <c r="C240" s="87" t="s">
        <v>1162</v>
      </c>
      <c r="I240" s="87" t="s">
        <v>49</v>
      </c>
      <c r="K240" s="88">
        <v>3.4126800000000004</v>
      </c>
      <c r="M240" s="89"/>
    </row>
    <row r="241" spans="1:13" ht="13.5" customHeight="1">
      <c r="A241" s="86"/>
      <c r="B241" s="90" t="s">
        <v>60</v>
      </c>
      <c r="C241" s="161" t="s">
        <v>651</v>
      </c>
      <c r="D241" s="162"/>
      <c r="E241" s="162"/>
      <c r="F241" s="162"/>
      <c r="G241" s="162"/>
      <c r="H241" s="162"/>
      <c r="I241" s="162"/>
      <c r="J241" s="162"/>
      <c r="K241" s="162"/>
      <c r="L241" s="162"/>
      <c r="M241" s="163"/>
    </row>
    <row r="242" spans="1:64" ht="15" customHeight="1">
      <c r="A242" s="65" t="s">
        <v>437</v>
      </c>
      <c r="B242" s="66" t="s">
        <v>665</v>
      </c>
      <c r="C242" s="150" t="s">
        <v>666</v>
      </c>
      <c r="D242" s="150"/>
      <c r="E242" s="150"/>
      <c r="F242" s="150"/>
      <c r="G242" s="150"/>
      <c r="H242" s="150"/>
      <c r="I242" s="150"/>
      <c r="J242" s="66" t="s">
        <v>79</v>
      </c>
      <c r="K242" s="83">
        <v>4.6</v>
      </c>
      <c r="L242" s="108"/>
      <c r="M242" s="84">
        <f>K242*L242</f>
        <v>0</v>
      </c>
      <c r="Z242" s="83">
        <f>IF(AQ242="5",BJ242,0)</f>
        <v>0</v>
      </c>
      <c r="AB242" s="83">
        <f>IF(AQ242="1",BH242,0)</f>
        <v>0</v>
      </c>
      <c r="AC242" s="83">
        <f>IF(AQ242="1",BI242,0)</f>
        <v>0</v>
      </c>
      <c r="AD242" s="83">
        <f>IF(AQ242="7",BH242,0)</f>
        <v>0</v>
      </c>
      <c r="AE242" s="83">
        <f>IF(AQ242="7",BI242,0)</f>
        <v>0</v>
      </c>
      <c r="AF242" s="83">
        <f>IF(AQ242="2",BH242,0)</f>
        <v>0</v>
      </c>
      <c r="AG242" s="83">
        <f>IF(AQ242="2",BI242,0)</f>
        <v>0</v>
      </c>
      <c r="AH242" s="83">
        <f>IF(AQ242="0",BJ242,0)</f>
        <v>0</v>
      </c>
      <c r="AI242" s="72" t="s">
        <v>49</v>
      </c>
      <c r="AJ242" s="83">
        <f>IF(AN242=0,M242,0)</f>
        <v>0</v>
      </c>
      <c r="AK242" s="83">
        <f>IF(AN242=15,M242,0)</f>
        <v>0</v>
      </c>
      <c r="AL242" s="83">
        <f>IF(AN242=21,M242,0)</f>
        <v>0</v>
      </c>
      <c r="AN242" s="83">
        <v>21</v>
      </c>
      <c r="AO242" s="83">
        <f>L242*0.0991373439273553</f>
        <v>0</v>
      </c>
      <c r="AP242" s="83">
        <f>L242*(1-0.0991373439273553)</f>
        <v>0</v>
      </c>
      <c r="AQ242" s="85" t="s">
        <v>52</v>
      </c>
      <c r="AV242" s="83">
        <f>AW242+AX242</f>
        <v>0</v>
      </c>
      <c r="AW242" s="83">
        <f>K242*AO242</f>
        <v>0</v>
      </c>
      <c r="AX242" s="83">
        <f>K242*AP242</f>
        <v>0</v>
      </c>
      <c r="AY242" s="85" t="s">
        <v>581</v>
      </c>
      <c r="AZ242" s="85" t="s">
        <v>510</v>
      </c>
      <c r="BA242" s="72" t="s">
        <v>58</v>
      </c>
      <c r="BC242" s="83">
        <f>AW242+AX242</f>
        <v>0</v>
      </c>
      <c r="BD242" s="83">
        <f>L242/(100-BE242)*100</f>
        <v>0</v>
      </c>
      <c r="BE242" s="83">
        <v>0</v>
      </c>
      <c r="BF242" s="83">
        <f>242</f>
        <v>242</v>
      </c>
      <c r="BH242" s="83">
        <f>K242*AO242</f>
        <v>0</v>
      </c>
      <c r="BI242" s="83">
        <f>K242*AP242</f>
        <v>0</v>
      </c>
      <c r="BJ242" s="83">
        <f>K242*L242</f>
        <v>0</v>
      </c>
      <c r="BK242" s="83"/>
      <c r="BL242" s="83">
        <v>59</v>
      </c>
    </row>
    <row r="243" spans="1:13" ht="15" customHeight="1">
      <c r="A243" s="86"/>
      <c r="C243" s="87" t="s">
        <v>1163</v>
      </c>
      <c r="I243" s="87" t="s">
        <v>668</v>
      </c>
      <c r="K243" s="88">
        <v>3.1</v>
      </c>
      <c r="M243" s="89"/>
    </row>
    <row r="244" spans="1:13" ht="15" customHeight="1">
      <c r="A244" s="86"/>
      <c r="C244" s="87" t="s">
        <v>1164</v>
      </c>
      <c r="I244" s="87" t="s">
        <v>670</v>
      </c>
      <c r="K244" s="88">
        <v>1.5000000000000002</v>
      </c>
      <c r="M244" s="89"/>
    </row>
    <row r="245" spans="1:64" ht="15" customHeight="1">
      <c r="A245" s="65" t="s">
        <v>442</v>
      </c>
      <c r="B245" s="66" t="s">
        <v>659</v>
      </c>
      <c r="C245" s="150" t="s">
        <v>672</v>
      </c>
      <c r="D245" s="150"/>
      <c r="E245" s="150"/>
      <c r="F245" s="150"/>
      <c r="G245" s="150"/>
      <c r="H245" s="150"/>
      <c r="I245" s="150"/>
      <c r="J245" s="66" t="s">
        <v>79</v>
      </c>
      <c r="K245" s="83">
        <v>3.255</v>
      </c>
      <c r="L245" s="108"/>
      <c r="M245" s="84">
        <f>K245*L245</f>
        <v>0</v>
      </c>
      <c r="Z245" s="83">
        <f>IF(AQ245="5",BJ245,0)</f>
        <v>0</v>
      </c>
      <c r="AB245" s="83">
        <f>IF(AQ245="1",BH245,0)</f>
        <v>0</v>
      </c>
      <c r="AC245" s="83">
        <f>IF(AQ245="1",BI245,0)</f>
        <v>0</v>
      </c>
      <c r="AD245" s="83">
        <f>IF(AQ245="7",BH245,0)</f>
        <v>0</v>
      </c>
      <c r="AE245" s="83">
        <f>IF(AQ245="7",BI245,0)</f>
        <v>0</v>
      </c>
      <c r="AF245" s="83">
        <f>IF(AQ245="2",BH245,0)</f>
        <v>0</v>
      </c>
      <c r="AG245" s="83">
        <f>IF(AQ245="2",BI245,0)</f>
        <v>0</v>
      </c>
      <c r="AH245" s="83">
        <f>IF(AQ245="0",BJ245,0)</f>
        <v>0</v>
      </c>
      <c r="AI245" s="72" t="s">
        <v>49</v>
      </c>
      <c r="AJ245" s="83">
        <f>IF(AN245=0,M245,0)</f>
        <v>0</v>
      </c>
      <c r="AK245" s="83">
        <f>IF(AN245=15,M245,0)</f>
        <v>0</v>
      </c>
      <c r="AL245" s="83">
        <f>IF(AN245=21,M245,0)</f>
        <v>0</v>
      </c>
      <c r="AN245" s="83">
        <v>21</v>
      </c>
      <c r="AO245" s="83">
        <f>L245*1</f>
        <v>0</v>
      </c>
      <c r="AP245" s="83">
        <f>L245*(1-1)</f>
        <v>0</v>
      </c>
      <c r="AQ245" s="85" t="s">
        <v>52</v>
      </c>
      <c r="AV245" s="83">
        <f>AW245+AX245</f>
        <v>0</v>
      </c>
      <c r="AW245" s="83">
        <f>K245*AO245</f>
        <v>0</v>
      </c>
      <c r="AX245" s="83">
        <f>K245*AP245</f>
        <v>0</v>
      </c>
      <c r="AY245" s="85" t="s">
        <v>581</v>
      </c>
      <c r="AZ245" s="85" t="s">
        <v>510</v>
      </c>
      <c r="BA245" s="72" t="s">
        <v>58</v>
      </c>
      <c r="BC245" s="83">
        <f>AW245+AX245</f>
        <v>0</v>
      </c>
      <c r="BD245" s="83">
        <f>L245/(100-BE245)*100</f>
        <v>0</v>
      </c>
      <c r="BE245" s="83">
        <v>0</v>
      </c>
      <c r="BF245" s="83">
        <f>245</f>
        <v>245</v>
      </c>
      <c r="BH245" s="83">
        <f>K245*AO245</f>
        <v>0</v>
      </c>
      <c r="BI245" s="83">
        <f>K245*AP245</f>
        <v>0</v>
      </c>
      <c r="BJ245" s="83">
        <f>K245*L245</f>
        <v>0</v>
      </c>
      <c r="BK245" s="83"/>
      <c r="BL245" s="83">
        <v>59</v>
      </c>
    </row>
    <row r="246" spans="1:13" ht="15" customHeight="1">
      <c r="A246" s="86"/>
      <c r="C246" s="87" t="s">
        <v>1163</v>
      </c>
      <c r="I246" s="87" t="s">
        <v>49</v>
      </c>
      <c r="K246" s="88">
        <v>3.1</v>
      </c>
      <c r="M246" s="89"/>
    </row>
    <row r="247" spans="1:13" ht="15" customHeight="1">
      <c r="A247" s="86"/>
      <c r="C247" s="87" t="s">
        <v>1165</v>
      </c>
      <c r="I247" s="87" t="s">
        <v>49</v>
      </c>
      <c r="K247" s="88">
        <v>0.155</v>
      </c>
      <c r="M247" s="89"/>
    </row>
    <row r="248" spans="1:64" ht="15" customHeight="1">
      <c r="A248" s="65" t="s">
        <v>449</v>
      </c>
      <c r="B248" s="66" t="s">
        <v>675</v>
      </c>
      <c r="C248" s="150" t="s">
        <v>676</v>
      </c>
      <c r="D248" s="150"/>
      <c r="E248" s="150"/>
      <c r="F248" s="150"/>
      <c r="G248" s="150"/>
      <c r="H248" s="150"/>
      <c r="I248" s="150"/>
      <c r="J248" s="66" t="s">
        <v>79</v>
      </c>
      <c r="K248" s="83">
        <v>1.575</v>
      </c>
      <c r="L248" s="108"/>
      <c r="M248" s="84">
        <f>K248*L248</f>
        <v>0</v>
      </c>
      <c r="Z248" s="83">
        <f>IF(AQ248="5",BJ248,0)</f>
        <v>0</v>
      </c>
      <c r="AB248" s="83">
        <f>IF(AQ248="1",BH248,0)</f>
        <v>0</v>
      </c>
      <c r="AC248" s="83">
        <f>IF(AQ248="1",BI248,0)</f>
        <v>0</v>
      </c>
      <c r="AD248" s="83">
        <f>IF(AQ248="7",BH248,0)</f>
        <v>0</v>
      </c>
      <c r="AE248" s="83">
        <f>IF(AQ248="7",BI248,0)</f>
        <v>0</v>
      </c>
      <c r="AF248" s="83">
        <f>IF(AQ248="2",BH248,0)</f>
        <v>0</v>
      </c>
      <c r="AG248" s="83">
        <f>IF(AQ248="2",BI248,0)</f>
        <v>0</v>
      </c>
      <c r="AH248" s="83">
        <f>IF(AQ248="0",BJ248,0)</f>
        <v>0</v>
      </c>
      <c r="AI248" s="72" t="s">
        <v>49</v>
      </c>
      <c r="AJ248" s="83">
        <f>IF(AN248=0,M248,0)</f>
        <v>0</v>
      </c>
      <c r="AK248" s="83">
        <f>IF(AN248=15,M248,0)</f>
        <v>0</v>
      </c>
      <c r="AL248" s="83">
        <f>IF(AN248=21,M248,0)</f>
        <v>0</v>
      </c>
      <c r="AN248" s="83">
        <v>21</v>
      </c>
      <c r="AO248" s="83">
        <f>L248*1</f>
        <v>0</v>
      </c>
      <c r="AP248" s="83">
        <f>L248*(1-1)</f>
        <v>0</v>
      </c>
      <c r="AQ248" s="85" t="s">
        <v>52</v>
      </c>
      <c r="AV248" s="83">
        <f>AW248+AX248</f>
        <v>0</v>
      </c>
      <c r="AW248" s="83">
        <f>K248*AO248</f>
        <v>0</v>
      </c>
      <c r="AX248" s="83">
        <f>K248*AP248</f>
        <v>0</v>
      </c>
      <c r="AY248" s="85" t="s">
        <v>581</v>
      </c>
      <c r="AZ248" s="85" t="s">
        <v>510</v>
      </c>
      <c r="BA248" s="72" t="s">
        <v>58</v>
      </c>
      <c r="BC248" s="83">
        <f>AW248+AX248</f>
        <v>0</v>
      </c>
      <c r="BD248" s="83">
        <f>L248/(100-BE248)*100</f>
        <v>0</v>
      </c>
      <c r="BE248" s="83">
        <v>0</v>
      </c>
      <c r="BF248" s="83">
        <f>248</f>
        <v>248</v>
      </c>
      <c r="BH248" s="83">
        <f>K248*AO248</f>
        <v>0</v>
      </c>
      <c r="BI248" s="83">
        <f>K248*AP248</f>
        <v>0</v>
      </c>
      <c r="BJ248" s="83">
        <f>K248*L248</f>
        <v>0</v>
      </c>
      <c r="BK248" s="83"/>
      <c r="BL248" s="83">
        <v>59</v>
      </c>
    </row>
    <row r="249" spans="1:13" ht="15" customHeight="1">
      <c r="A249" s="86"/>
      <c r="C249" s="87" t="s">
        <v>1164</v>
      </c>
      <c r="I249" s="87" t="s">
        <v>49</v>
      </c>
      <c r="K249" s="88">
        <v>1.5000000000000002</v>
      </c>
      <c r="M249" s="89"/>
    </row>
    <row r="250" spans="1:13" ht="15" customHeight="1">
      <c r="A250" s="86"/>
      <c r="C250" s="87" t="s">
        <v>1166</v>
      </c>
      <c r="I250" s="87" t="s">
        <v>49</v>
      </c>
      <c r="K250" s="88">
        <v>0.07500000000000001</v>
      </c>
      <c r="M250" s="89"/>
    </row>
    <row r="251" spans="1:64" ht="15" customHeight="1">
      <c r="A251" s="65" t="s">
        <v>453</v>
      </c>
      <c r="B251" s="66" t="s">
        <v>683</v>
      </c>
      <c r="C251" s="150" t="s">
        <v>684</v>
      </c>
      <c r="D251" s="150"/>
      <c r="E251" s="150"/>
      <c r="F251" s="150"/>
      <c r="G251" s="150"/>
      <c r="H251" s="150"/>
      <c r="I251" s="150"/>
      <c r="J251" s="66" t="s">
        <v>79</v>
      </c>
      <c r="K251" s="83">
        <v>3</v>
      </c>
      <c r="L251" s="108"/>
      <c r="M251" s="84">
        <f>K251*L251</f>
        <v>0</v>
      </c>
      <c r="Z251" s="83">
        <f>IF(AQ251="5",BJ251,0)</f>
        <v>0</v>
      </c>
      <c r="AB251" s="83">
        <f>IF(AQ251="1",BH251,0)</f>
        <v>0</v>
      </c>
      <c r="AC251" s="83">
        <f>IF(AQ251="1",BI251,0)</f>
        <v>0</v>
      </c>
      <c r="AD251" s="83">
        <f>IF(AQ251="7",BH251,0)</f>
        <v>0</v>
      </c>
      <c r="AE251" s="83">
        <f>IF(AQ251="7",BI251,0)</f>
        <v>0</v>
      </c>
      <c r="AF251" s="83">
        <f>IF(AQ251="2",BH251,0)</f>
        <v>0</v>
      </c>
      <c r="AG251" s="83">
        <f>IF(AQ251="2",BI251,0)</f>
        <v>0</v>
      </c>
      <c r="AH251" s="83">
        <f>IF(AQ251="0",BJ251,0)</f>
        <v>0</v>
      </c>
      <c r="AI251" s="72" t="s">
        <v>49</v>
      </c>
      <c r="AJ251" s="83">
        <f>IF(AN251=0,M251,0)</f>
        <v>0</v>
      </c>
      <c r="AK251" s="83">
        <f>IF(AN251=15,M251,0)</f>
        <v>0</v>
      </c>
      <c r="AL251" s="83">
        <f>IF(AN251=21,M251,0)</f>
        <v>0</v>
      </c>
      <c r="AN251" s="83">
        <v>21</v>
      </c>
      <c r="AO251" s="83">
        <f>L251*0.115277108433735</f>
        <v>0</v>
      </c>
      <c r="AP251" s="83">
        <f>L251*(1-0.115277108433735)</f>
        <v>0</v>
      </c>
      <c r="AQ251" s="85" t="s">
        <v>52</v>
      </c>
      <c r="AV251" s="83">
        <f>AW251+AX251</f>
        <v>0</v>
      </c>
      <c r="AW251" s="83">
        <f>K251*AO251</f>
        <v>0</v>
      </c>
      <c r="AX251" s="83">
        <f>K251*AP251</f>
        <v>0</v>
      </c>
      <c r="AY251" s="85" t="s">
        <v>581</v>
      </c>
      <c r="AZ251" s="85" t="s">
        <v>510</v>
      </c>
      <c r="BA251" s="72" t="s">
        <v>58</v>
      </c>
      <c r="BC251" s="83">
        <f>AW251+AX251</f>
        <v>0</v>
      </c>
      <c r="BD251" s="83">
        <f>L251/(100-BE251)*100</f>
        <v>0</v>
      </c>
      <c r="BE251" s="83">
        <v>0</v>
      </c>
      <c r="BF251" s="83">
        <f>251</f>
        <v>251</v>
      </c>
      <c r="BH251" s="83">
        <f>K251*AO251</f>
        <v>0</v>
      </c>
      <c r="BI251" s="83">
        <f>K251*AP251</f>
        <v>0</v>
      </c>
      <c r="BJ251" s="83">
        <f>K251*L251</f>
        <v>0</v>
      </c>
      <c r="BK251" s="83"/>
      <c r="BL251" s="83">
        <v>59</v>
      </c>
    </row>
    <row r="252" spans="1:13" ht="15" customHeight="1">
      <c r="A252" s="86"/>
      <c r="C252" s="87" t="s">
        <v>65</v>
      </c>
      <c r="I252" s="87" t="s">
        <v>685</v>
      </c>
      <c r="K252" s="88">
        <v>3.0000000000000004</v>
      </c>
      <c r="M252" s="89"/>
    </row>
    <row r="253" spans="1:13" ht="54" customHeight="1">
      <c r="A253" s="86"/>
      <c r="B253" s="90" t="s">
        <v>60</v>
      </c>
      <c r="C253" s="161" t="s">
        <v>686</v>
      </c>
      <c r="D253" s="162"/>
      <c r="E253" s="162"/>
      <c r="F253" s="162"/>
      <c r="G253" s="162"/>
      <c r="H253" s="162"/>
      <c r="I253" s="162"/>
      <c r="J253" s="162"/>
      <c r="K253" s="162"/>
      <c r="L253" s="162"/>
      <c r="M253" s="163"/>
    </row>
    <row r="254" spans="1:64" ht="15" customHeight="1">
      <c r="A254" s="65" t="s">
        <v>456</v>
      </c>
      <c r="B254" s="66" t="s">
        <v>688</v>
      </c>
      <c r="C254" s="150" t="s">
        <v>689</v>
      </c>
      <c r="D254" s="150"/>
      <c r="E254" s="150"/>
      <c r="F254" s="150"/>
      <c r="G254" s="150"/>
      <c r="H254" s="150"/>
      <c r="I254" s="150"/>
      <c r="J254" s="66" t="s">
        <v>79</v>
      </c>
      <c r="K254" s="83">
        <v>14</v>
      </c>
      <c r="L254" s="108"/>
      <c r="M254" s="84">
        <f>K254*L254</f>
        <v>0</v>
      </c>
      <c r="Z254" s="83">
        <f>IF(AQ254="5",BJ254,0)</f>
        <v>0</v>
      </c>
      <c r="AB254" s="83">
        <f>IF(AQ254="1",BH254,0)</f>
        <v>0</v>
      </c>
      <c r="AC254" s="83">
        <f>IF(AQ254="1",BI254,0)</f>
        <v>0</v>
      </c>
      <c r="AD254" s="83">
        <f>IF(AQ254="7",BH254,0)</f>
        <v>0</v>
      </c>
      <c r="AE254" s="83">
        <f>IF(AQ254="7",BI254,0)</f>
        <v>0</v>
      </c>
      <c r="AF254" s="83">
        <f>IF(AQ254="2",BH254,0)</f>
        <v>0</v>
      </c>
      <c r="AG254" s="83">
        <f>IF(AQ254="2",BI254,0)</f>
        <v>0</v>
      </c>
      <c r="AH254" s="83">
        <f>IF(AQ254="0",BJ254,0)</f>
        <v>0</v>
      </c>
      <c r="AI254" s="72" t="s">
        <v>49</v>
      </c>
      <c r="AJ254" s="83">
        <f>IF(AN254=0,M254,0)</f>
        <v>0</v>
      </c>
      <c r="AK254" s="83">
        <f>IF(AN254=15,M254,0)</f>
        <v>0</v>
      </c>
      <c r="AL254" s="83">
        <f>IF(AN254=21,M254,0)</f>
        <v>0</v>
      </c>
      <c r="AN254" s="83">
        <v>21</v>
      </c>
      <c r="AO254" s="83">
        <f>L254*0.52612702366127</f>
        <v>0</v>
      </c>
      <c r="AP254" s="83">
        <f>L254*(1-0.52612702366127)</f>
        <v>0</v>
      </c>
      <c r="AQ254" s="85" t="s">
        <v>52</v>
      </c>
      <c r="AV254" s="83">
        <f>AW254+AX254</f>
        <v>0</v>
      </c>
      <c r="AW254" s="83">
        <f>K254*AO254</f>
        <v>0</v>
      </c>
      <c r="AX254" s="83">
        <f>K254*AP254</f>
        <v>0</v>
      </c>
      <c r="AY254" s="85" t="s">
        <v>581</v>
      </c>
      <c r="AZ254" s="85" t="s">
        <v>510</v>
      </c>
      <c r="BA254" s="72" t="s">
        <v>58</v>
      </c>
      <c r="BC254" s="83">
        <f>AW254+AX254</f>
        <v>0</v>
      </c>
      <c r="BD254" s="83">
        <f>L254/(100-BE254)*100</f>
        <v>0</v>
      </c>
      <c r="BE254" s="83">
        <v>0</v>
      </c>
      <c r="BF254" s="83">
        <f>254</f>
        <v>254</v>
      </c>
      <c r="BH254" s="83">
        <f>K254*AO254</f>
        <v>0</v>
      </c>
      <c r="BI254" s="83">
        <f>K254*AP254</f>
        <v>0</v>
      </c>
      <c r="BJ254" s="83">
        <f>K254*L254</f>
        <v>0</v>
      </c>
      <c r="BK254" s="83"/>
      <c r="BL254" s="83">
        <v>59</v>
      </c>
    </row>
    <row r="255" spans="1:13" ht="15" customHeight="1">
      <c r="A255" s="86"/>
      <c r="C255" s="87" t="s">
        <v>142</v>
      </c>
      <c r="I255" s="87" t="s">
        <v>690</v>
      </c>
      <c r="K255" s="88">
        <v>14.000000000000002</v>
      </c>
      <c r="M255" s="89"/>
    </row>
    <row r="256" spans="1:13" ht="54" customHeight="1">
      <c r="A256" s="86"/>
      <c r="B256" s="90" t="s">
        <v>60</v>
      </c>
      <c r="C256" s="161" t="s">
        <v>691</v>
      </c>
      <c r="D256" s="162"/>
      <c r="E256" s="162"/>
      <c r="F256" s="162"/>
      <c r="G256" s="162"/>
      <c r="H256" s="162"/>
      <c r="I256" s="162"/>
      <c r="J256" s="162"/>
      <c r="K256" s="162"/>
      <c r="L256" s="162"/>
      <c r="M256" s="163"/>
    </row>
    <row r="257" spans="1:64" ht="15" customHeight="1">
      <c r="A257" s="65" t="s">
        <v>461</v>
      </c>
      <c r="B257" s="66" t="s">
        <v>693</v>
      </c>
      <c r="C257" s="150" t="s">
        <v>694</v>
      </c>
      <c r="D257" s="150"/>
      <c r="E257" s="150"/>
      <c r="F257" s="150"/>
      <c r="G257" s="150"/>
      <c r="H257" s="150"/>
      <c r="I257" s="150"/>
      <c r="J257" s="66" t="s">
        <v>79</v>
      </c>
      <c r="K257" s="83">
        <v>14.7</v>
      </c>
      <c r="L257" s="108"/>
      <c r="M257" s="84">
        <f>K257*L257</f>
        <v>0</v>
      </c>
      <c r="Z257" s="83">
        <f>IF(AQ257="5",BJ257,0)</f>
        <v>0</v>
      </c>
      <c r="AB257" s="83">
        <f>IF(AQ257="1",BH257,0)</f>
        <v>0</v>
      </c>
      <c r="AC257" s="83">
        <f>IF(AQ257="1",BI257,0)</f>
        <v>0</v>
      </c>
      <c r="AD257" s="83">
        <f>IF(AQ257="7",BH257,0)</f>
        <v>0</v>
      </c>
      <c r="AE257" s="83">
        <f>IF(AQ257="7",BI257,0)</f>
        <v>0</v>
      </c>
      <c r="AF257" s="83">
        <f>IF(AQ257="2",BH257,0)</f>
        <v>0</v>
      </c>
      <c r="AG257" s="83">
        <f>IF(AQ257="2",BI257,0)</f>
        <v>0</v>
      </c>
      <c r="AH257" s="83">
        <f>IF(AQ257="0",BJ257,0)</f>
        <v>0</v>
      </c>
      <c r="AI257" s="72" t="s">
        <v>49</v>
      </c>
      <c r="AJ257" s="83">
        <f>IF(AN257=0,M257,0)</f>
        <v>0</v>
      </c>
      <c r="AK257" s="83">
        <f>IF(AN257=15,M257,0)</f>
        <v>0</v>
      </c>
      <c r="AL257" s="83">
        <f>IF(AN257=21,M257,0)</f>
        <v>0</v>
      </c>
      <c r="AN257" s="83">
        <v>21</v>
      </c>
      <c r="AO257" s="83">
        <f>L257*1</f>
        <v>0</v>
      </c>
      <c r="AP257" s="83">
        <f>L257*(1-1)</f>
        <v>0</v>
      </c>
      <c r="AQ257" s="85" t="s">
        <v>52</v>
      </c>
      <c r="AV257" s="83">
        <f>AW257+AX257</f>
        <v>0</v>
      </c>
      <c r="AW257" s="83">
        <f>K257*AO257</f>
        <v>0</v>
      </c>
      <c r="AX257" s="83">
        <f>K257*AP257</f>
        <v>0</v>
      </c>
      <c r="AY257" s="85" t="s">
        <v>581</v>
      </c>
      <c r="AZ257" s="85" t="s">
        <v>510</v>
      </c>
      <c r="BA257" s="72" t="s">
        <v>58</v>
      </c>
      <c r="BC257" s="83">
        <f>AW257+AX257</f>
        <v>0</v>
      </c>
      <c r="BD257" s="83">
        <f>L257/(100-BE257)*100</f>
        <v>0</v>
      </c>
      <c r="BE257" s="83">
        <v>0</v>
      </c>
      <c r="BF257" s="83">
        <f>257</f>
        <v>257</v>
      </c>
      <c r="BH257" s="83">
        <f>K257*AO257</f>
        <v>0</v>
      </c>
      <c r="BI257" s="83">
        <f>K257*AP257</f>
        <v>0</v>
      </c>
      <c r="BJ257" s="83">
        <f>K257*L257</f>
        <v>0</v>
      </c>
      <c r="BK257" s="83"/>
      <c r="BL257" s="83">
        <v>59</v>
      </c>
    </row>
    <row r="258" spans="1:13" ht="15" customHeight="1">
      <c r="A258" s="86"/>
      <c r="C258" s="87" t="s">
        <v>142</v>
      </c>
      <c r="I258" s="87" t="s">
        <v>49</v>
      </c>
      <c r="K258" s="88">
        <v>14.000000000000002</v>
      </c>
      <c r="M258" s="89"/>
    </row>
    <row r="259" spans="1:13" ht="15" customHeight="1">
      <c r="A259" s="86"/>
      <c r="C259" s="87" t="s">
        <v>695</v>
      </c>
      <c r="I259" s="87" t="s">
        <v>49</v>
      </c>
      <c r="K259" s="88">
        <v>0.7000000000000001</v>
      </c>
      <c r="M259" s="89"/>
    </row>
    <row r="260" spans="1:13" ht="13.5" customHeight="1">
      <c r="A260" s="86"/>
      <c r="B260" s="90" t="s">
        <v>60</v>
      </c>
      <c r="C260" s="161" t="s">
        <v>127</v>
      </c>
      <c r="D260" s="162"/>
      <c r="E260" s="162"/>
      <c r="F260" s="162"/>
      <c r="G260" s="162"/>
      <c r="H260" s="162"/>
      <c r="I260" s="162"/>
      <c r="J260" s="162"/>
      <c r="K260" s="162"/>
      <c r="L260" s="162"/>
      <c r="M260" s="163"/>
    </row>
    <row r="261" spans="1:64" ht="15" customHeight="1">
      <c r="A261" s="65" t="s">
        <v>465</v>
      </c>
      <c r="B261" s="66" t="s">
        <v>1167</v>
      </c>
      <c r="C261" s="150" t="s">
        <v>1168</v>
      </c>
      <c r="D261" s="150"/>
      <c r="E261" s="150"/>
      <c r="F261" s="150"/>
      <c r="G261" s="150"/>
      <c r="H261" s="150"/>
      <c r="I261" s="150"/>
      <c r="J261" s="66" t="s">
        <v>79</v>
      </c>
      <c r="K261" s="83">
        <v>2.34</v>
      </c>
      <c r="L261" s="108"/>
      <c r="M261" s="84">
        <f>K261*L261</f>
        <v>0</v>
      </c>
      <c r="Z261" s="83">
        <f>IF(AQ261="5",BJ261,0)</f>
        <v>0</v>
      </c>
      <c r="AB261" s="83">
        <f>IF(AQ261="1",BH261,0)</f>
        <v>0</v>
      </c>
      <c r="AC261" s="83">
        <f>IF(AQ261="1",BI261,0)</f>
        <v>0</v>
      </c>
      <c r="AD261" s="83">
        <f>IF(AQ261="7",BH261,0)</f>
        <v>0</v>
      </c>
      <c r="AE261" s="83">
        <f>IF(AQ261="7",BI261,0)</f>
        <v>0</v>
      </c>
      <c r="AF261" s="83">
        <f>IF(AQ261="2",BH261,0)</f>
        <v>0</v>
      </c>
      <c r="AG261" s="83">
        <f>IF(AQ261="2",BI261,0)</f>
        <v>0</v>
      </c>
      <c r="AH261" s="83">
        <f>IF(AQ261="0",BJ261,0)</f>
        <v>0</v>
      </c>
      <c r="AI261" s="72" t="s">
        <v>49</v>
      </c>
      <c r="AJ261" s="83">
        <f>IF(AN261=0,M261,0)</f>
        <v>0</v>
      </c>
      <c r="AK261" s="83">
        <f>IF(AN261=15,M261,0)</f>
        <v>0</v>
      </c>
      <c r="AL261" s="83">
        <f>IF(AN261=21,M261,0)</f>
        <v>0</v>
      </c>
      <c r="AN261" s="83">
        <v>21</v>
      </c>
      <c r="AO261" s="83">
        <f>L261*0.698566666666667</f>
        <v>0</v>
      </c>
      <c r="AP261" s="83">
        <f>L261*(1-0.698566666666667)</f>
        <v>0</v>
      </c>
      <c r="AQ261" s="85" t="s">
        <v>52</v>
      </c>
      <c r="AV261" s="83">
        <f>AW261+AX261</f>
        <v>0</v>
      </c>
      <c r="AW261" s="83">
        <f>K261*AO261</f>
        <v>0</v>
      </c>
      <c r="AX261" s="83">
        <f>K261*AP261</f>
        <v>0</v>
      </c>
      <c r="AY261" s="85" t="s">
        <v>581</v>
      </c>
      <c r="AZ261" s="85" t="s">
        <v>510</v>
      </c>
      <c r="BA261" s="72" t="s">
        <v>58</v>
      </c>
      <c r="BC261" s="83">
        <f>AW261+AX261</f>
        <v>0</v>
      </c>
      <c r="BD261" s="83">
        <f>L261/(100-BE261)*100</f>
        <v>0</v>
      </c>
      <c r="BE261" s="83">
        <v>0</v>
      </c>
      <c r="BF261" s="83">
        <f>261</f>
        <v>261</v>
      </c>
      <c r="BH261" s="83">
        <f>K261*AO261</f>
        <v>0</v>
      </c>
      <c r="BI261" s="83">
        <f>K261*AP261</f>
        <v>0</v>
      </c>
      <c r="BJ261" s="83">
        <f>K261*L261</f>
        <v>0</v>
      </c>
      <c r="BK261" s="83"/>
      <c r="BL261" s="83">
        <v>59</v>
      </c>
    </row>
    <row r="262" spans="1:13" ht="15" customHeight="1">
      <c r="A262" s="86"/>
      <c r="C262" s="87" t="s">
        <v>1169</v>
      </c>
      <c r="I262" s="87" t="s">
        <v>49</v>
      </c>
      <c r="K262" s="88">
        <v>2.3400000000000003</v>
      </c>
      <c r="M262" s="89"/>
    </row>
    <row r="263" spans="1:64" ht="15" customHeight="1">
      <c r="A263" s="65" t="s">
        <v>468</v>
      </c>
      <c r="B263" s="66" t="s">
        <v>821</v>
      </c>
      <c r="C263" s="150" t="s">
        <v>1170</v>
      </c>
      <c r="D263" s="150"/>
      <c r="E263" s="150"/>
      <c r="F263" s="150"/>
      <c r="G263" s="150"/>
      <c r="H263" s="150"/>
      <c r="I263" s="150"/>
      <c r="J263" s="66" t="s">
        <v>55</v>
      </c>
      <c r="K263" s="83">
        <v>13</v>
      </c>
      <c r="L263" s="108"/>
      <c r="M263" s="84">
        <f>K263*L263</f>
        <v>0</v>
      </c>
      <c r="Z263" s="83">
        <f>IF(AQ263="5",BJ263,0)</f>
        <v>0</v>
      </c>
      <c r="AB263" s="83">
        <f>IF(AQ263="1",BH263,0)</f>
        <v>0</v>
      </c>
      <c r="AC263" s="83">
        <f>IF(AQ263="1",BI263,0)</f>
        <v>0</v>
      </c>
      <c r="AD263" s="83">
        <f>IF(AQ263="7",BH263,0)</f>
        <v>0</v>
      </c>
      <c r="AE263" s="83">
        <f>IF(AQ263="7",BI263,0)</f>
        <v>0</v>
      </c>
      <c r="AF263" s="83">
        <f>IF(AQ263="2",BH263,0)</f>
        <v>0</v>
      </c>
      <c r="AG263" s="83">
        <f>IF(AQ263="2",BI263,0)</f>
        <v>0</v>
      </c>
      <c r="AH263" s="83">
        <f>IF(AQ263="0",BJ263,0)</f>
        <v>0</v>
      </c>
      <c r="AI263" s="72" t="s">
        <v>49</v>
      </c>
      <c r="AJ263" s="83">
        <f>IF(AN263=0,M263,0)</f>
        <v>0</v>
      </c>
      <c r="AK263" s="83">
        <f>IF(AN263=15,M263,0)</f>
        <v>0</v>
      </c>
      <c r="AL263" s="83">
        <f>IF(AN263=21,M263,0)</f>
        <v>0</v>
      </c>
      <c r="AN263" s="83">
        <v>21</v>
      </c>
      <c r="AO263" s="83">
        <f>L263*1</f>
        <v>0</v>
      </c>
      <c r="AP263" s="83">
        <f>L263*(1-1)</f>
        <v>0</v>
      </c>
      <c r="AQ263" s="85" t="s">
        <v>52</v>
      </c>
      <c r="AV263" s="83">
        <f>AW263+AX263</f>
        <v>0</v>
      </c>
      <c r="AW263" s="83">
        <f>K263*AO263</f>
        <v>0</v>
      </c>
      <c r="AX263" s="83">
        <f>K263*AP263</f>
        <v>0</v>
      </c>
      <c r="AY263" s="85" t="s">
        <v>581</v>
      </c>
      <c r="AZ263" s="85" t="s">
        <v>510</v>
      </c>
      <c r="BA263" s="72" t="s">
        <v>58</v>
      </c>
      <c r="BC263" s="83">
        <f>AW263+AX263</f>
        <v>0</v>
      </c>
      <c r="BD263" s="83">
        <f>L263/(100-BE263)*100</f>
        <v>0</v>
      </c>
      <c r="BE263" s="83">
        <v>0</v>
      </c>
      <c r="BF263" s="83">
        <f>263</f>
        <v>263</v>
      </c>
      <c r="BH263" s="83">
        <f>K263*AO263</f>
        <v>0</v>
      </c>
      <c r="BI263" s="83">
        <f>K263*AP263</f>
        <v>0</v>
      </c>
      <c r="BJ263" s="83">
        <f>K263*L263</f>
        <v>0</v>
      </c>
      <c r="BK263" s="83"/>
      <c r="BL263" s="83">
        <v>59</v>
      </c>
    </row>
    <row r="264" spans="1:13" ht="15" customHeight="1">
      <c r="A264" s="86"/>
      <c r="C264" s="87" t="s">
        <v>132</v>
      </c>
      <c r="I264" s="87" t="s">
        <v>49</v>
      </c>
      <c r="K264" s="88">
        <v>13.000000000000002</v>
      </c>
      <c r="M264" s="89"/>
    </row>
    <row r="265" spans="1:47" ht="15" customHeight="1">
      <c r="A265" s="78" t="s">
        <v>49</v>
      </c>
      <c r="B265" s="79" t="s">
        <v>149</v>
      </c>
      <c r="C265" s="168" t="s">
        <v>719</v>
      </c>
      <c r="D265" s="168"/>
      <c r="E265" s="168"/>
      <c r="F265" s="168"/>
      <c r="G265" s="168"/>
      <c r="H265" s="168"/>
      <c r="I265" s="168"/>
      <c r="J265" s="80" t="s">
        <v>3</v>
      </c>
      <c r="K265" s="80" t="s">
        <v>3</v>
      </c>
      <c r="L265" s="80" t="s">
        <v>3</v>
      </c>
      <c r="M265" s="81">
        <f>SUM(M266:M270)</f>
        <v>0</v>
      </c>
      <c r="AI265" s="72" t="s">
        <v>49</v>
      </c>
      <c r="AS265" s="82">
        <f>SUM(AJ266:AJ270)</f>
        <v>0</v>
      </c>
      <c r="AT265" s="82">
        <f>SUM(AK266:AK270)</f>
        <v>0</v>
      </c>
      <c r="AU265" s="82">
        <f>SUM(AL266:AL270)</f>
        <v>0</v>
      </c>
    </row>
    <row r="266" spans="1:64" ht="15" customHeight="1">
      <c r="A266" s="65" t="s">
        <v>473</v>
      </c>
      <c r="B266" s="66" t="s">
        <v>721</v>
      </c>
      <c r="C266" s="150" t="s">
        <v>722</v>
      </c>
      <c r="D266" s="150"/>
      <c r="E266" s="150"/>
      <c r="F266" s="150"/>
      <c r="G266" s="150"/>
      <c r="H266" s="150"/>
      <c r="I266" s="150"/>
      <c r="J266" s="66" t="s">
        <v>191</v>
      </c>
      <c r="K266" s="83">
        <v>10</v>
      </c>
      <c r="L266" s="108"/>
      <c r="M266" s="84">
        <f>K266*L266</f>
        <v>0</v>
      </c>
      <c r="Z266" s="83">
        <f>IF(AQ266="5",BJ266,0)</f>
        <v>0</v>
      </c>
      <c r="AB266" s="83">
        <f>IF(AQ266="1",BH266,0)</f>
        <v>0</v>
      </c>
      <c r="AC266" s="83">
        <f>IF(AQ266="1",BI266,0)</f>
        <v>0</v>
      </c>
      <c r="AD266" s="83">
        <f>IF(AQ266="7",BH266,0)</f>
        <v>0</v>
      </c>
      <c r="AE266" s="83">
        <f>IF(AQ266="7",BI266,0)</f>
        <v>0</v>
      </c>
      <c r="AF266" s="83">
        <f>IF(AQ266="2",BH266,0)</f>
        <v>0</v>
      </c>
      <c r="AG266" s="83">
        <f>IF(AQ266="2",BI266,0)</f>
        <v>0</v>
      </c>
      <c r="AH266" s="83">
        <f>IF(AQ266="0",BJ266,0)</f>
        <v>0</v>
      </c>
      <c r="AI266" s="72" t="s">
        <v>49</v>
      </c>
      <c r="AJ266" s="83">
        <f>IF(AN266=0,M266,0)</f>
        <v>0</v>
      </c>
      <c r="AK266" s="83">
        <f>IF(AN266=15,M266,0)</f>
        <v>0</v>
      </c>
      <c r="AL266" s="83">
        <f>IF(AN266=21,M266,0)</f>
        <v>0</v>
      </c>
      <c r="AN266" s="83">
        <v>21</v>
      </c>
      <c r="AO266" s="83">
        <f>L266*0.920872641509434</f>
        <v>0</v>
      </c>
      <c r="AP266" s="83">
        <f>L266*(1-0.920872641509434)</f>
        <v>0</v>
      </c>
      <c r="AQ266" s="85" t="s">
        <v>52</v>
      </c>
      <c r="AV266" s="83">
        <f>AW266+AX266</f>
        <v>0</v>
      </c>
      <c r="AW266" s="83">
        <f>K266*AO266</f>
        <v>0</v>
      </c>
      <c r="AX266" s="83">
        <f>K266*AP266</f>
        <v>0</v>
      </c>
      <c r="AY266" s="85" t="s">
        <v>723</v>
      </c>
      <c r="AZ266" s="85" t="s">
        <v>724</v>
      </c>
      <c r="BA266" s="72" t="s">
        <v>58</v>
      </c>
      <c r="BC266" s="83">
        <f>AW266+AX266</f>
        <v>0</v>
      </c>
      <c r="BD266" s="83">
        <f>L266/(100-BE266)*100</f>
        <v>0</v>
      </c>
      <c r="BE266" s="83">
        <v>0</v>
      </c>
      <c r="BF266" s="83">
        <f>266</f>
        <v>266</v>
      </c>
      <c r="BH266" s="83">
        <f>K266*AO266</f>
        <v>0</v>
      </c>
      <c r="BI266" s="83">
        <f>K266*AP266</f>
        <v>0</v>
      </c>
      <c r="BJ266" s="83">
        <f>K266*L266</f>
        <v>0</v>
      </c>
      <c r="BK266" s="83"/>
      <c r="BL266" s="83">
        <v>87</v>
      </c>
    </row>
    <row r="267" spans="1:13" ht="13.5" customHeight="1">
      <c r="A267" s="86"/>
      <c r="B267" s="90" t="s">
        <v>273</v>
      </c>
      <c r="C267" s="161" t="s">
        <v>725</v>
      </c>
      <c r="D267" s="162"/>
      <c r="E267" s="162"/>
      <c r="F267" s="162"/>
      <c r="G267" s="162"/>
      <c r="H267" s="162"/>
      <c r="I267" s="162"/>
      <c r="J267" s="162"/>
      <c r="K267" s="162"/>
      <c r="L267" s="162"/>
      <c r="M267" s="163"/>
    </row>
    <row r="268" spans="1:13" ht="15" customHeight="1">
      <c r="A268" s="86"/>
      <c r="C268" s="87" t="s">
        <v>111</v>
      </c>
      <c r="I268" s="87" t="s">
        <v>49</v>
      </c>
      <c r="K268" s="88">
        <v>10</v>
      </c>
      <c r="M268" s="89"/>
    </row>
    <row r="269" spans="1:13" ht="40.5" customHeight="1">
      <c r="A269" s="86"/>
      <c r="B269" s="90" t="s">
        <v>60</v>
      </c>
      <c r="C269" s="161" t="s">
        <v>726</v>
      </c>
      <c r="D269" s="162"/>
      <c r="E269" s="162"/>
      <c r="F269" s="162"/>
      <c r="G269" s="162"/>
      <c r="H269" s="162"/>
      <c r="I269" s="162"/>
      <c r="J269" s="162"/>
      <c r="K269" s="162"/>
      <c r="L269" s="162"/>
      <c r="M269" s="163"/>
    </row>
    <row r="270" spans="1:64" ht="15" customHeight="1">
      <c r="A270" s="65" t="s">
        <v>479</v>
      </c>
      <c r="B270" s="66" t="s">
        <v>727</v>
      </c>
      <c r="C270" s="150" t="s">
        <v>728</v>
      </c>
      <c r="D270" s="150"/>
      <c r="E270" s="150"/>
      <c r="F270" s="150"/>
      <c r="G270" s="150"/>
      <c r="H270" s="150"/>
      <c r="I270" s="150"/>
      <c r="J270" s="66" t="s">
        <v>55</v>
      </c>
      <c r="K270" s="83">
        <v>14</v>
      </c>
      <c r="L270" s="108"/>
      <c r="M270" s="84">
        <f>K270*L270</f>
        <v>0</v>
      </c>
      <c r="Z270" s="83">
        <f>IF(AQ270="5",BJ270,0)</f>
        <v>0</v>
      </c>
      <c r="AB270" s="83">
        <f>IF(AQ270="1",BH270,0)</f>
        <v>0</v>
      </c>
      <c r="AC270" s="83">
        <f>IF(AQ270="1",BI270,0)</f>
        <v>0</v>
      </c>
      <c r="AD270" s="83">
        <f>IF(AQ270="7",BH270,0)</f>
        <v>0</v>
      </c>
      <c r="AE270" s="83">
        <f>IF(AQ270="7",BI270,0)</f>
        <v>0</v>
      </c>
      <c r="AF270" s="83">
        <f>IF(AQ270="2",BH270,0)</f>
        <v>0</v>
      </c>
      <c r="AG270" s="83">
        <f>IF(AQ270="2",BI270,0)</f>
        <v>0</v>
      </c>
      <c r="AH270" s="83">
        <f>IF(AQ270="0",BJ270,0)</f>
        <v>0</v>
      </c>
      <c r="AI270" s="72" t="s">
        <v>49</v>
      </c>
      <c r="AJ270" s="83">
        <f>IF(AN270=0,M270,0)</f>
        <v>0</v>
      </c>
      <c r="AK270" s="83">
        <f>IF(AN270=15,M270,0)</f>
        <v>0</v>
      </c>
      <c r="AL270" s="83">
        <f>IF(AN270=21,M270,0)</f>
        <v>0</v>
      </c>
      <c r="AN270" s="83">
        <v>21</v>
      </c>
      <c r="AO270" s="83">
        <f>L270*1</f>
        <v>0</v>
      </c>
      <c r="AP270" s="83">
        <f>L270*(1-1)</f>
        <v>0</v>
      </c>
      <c r="AQ270" s="85" t="s">
        <v>52</v>
      </c>
      <c r="AV270" s="83">
        <f>AW270+AX270</f>
        <v>0</v>
      </c>
      <c r="AW270" s="83">
        <f>K270*AO270</f>
        <v>0</v>
      </c>
      <c r="AX270" s="83">
        <f>K270*AP270</f>
        <v>0</v>
      </c>
      <c r="AY270" s="85" t="s">
        <v>723</v>
      </c>
      <c r="AZ270" s="85" t="s">
        <v>724</v>
      </c>
      <c r="BA270" s="72" t="s">
        <v>58</v>
      </c>
      <c r="BC270" s="83">
        <f>AW270+AX270</f>
        <v>0</v>
      </c>
      <c r="BD270" s="83">
        <f>L270/(100-BE270)*100</f>
        <v>0</v>
      </c>
      <c r="BE270" s="83">
        <v>0</v>
      </c>
      <c r="BF270" s="83">
        <f>270</f>
        <v>270</v>
      </c>
      <c r="BH270" s="83">
        <f>K270*AO270</f>
        <v>0</v>
      </c>
      <c r="BI270" s="83">
        <f>K270*AP270</f>
        <v>0</v>
      </c>
      <c r="BJ270" s="83">
        <f>K270*L270</f>
        <v>0</v>
      </c>
      <c r="BK270" s="83"/>
      <c r="BL270" s="83">
        <v>87</v>
      </c>
    </row>
    <row r="271" spans="1:13" ht="15" customHeight="1">
      <c r="A271" s="86"/>
      <c r="C271" s="87" t="s">
        <v>142</v>
      </c>
      <c r="I271" s="87" t="s">
        <v>49</v>
      </c>
      <c r="K271" s="88">
        <v>14.000000000000002</v>
      </c>
      <c r="M271" s="89"/>
    </row>
    <row r="272" spans="1:47" ht="15" customHeight="1">
      <c r="A272" s="78" t="s">
        <v>49</v>
      </c>
      <c r="B272" s="79" t="s">
        <v>552</v>
      </c>
      <c r="C272" s="168" t="s">
        <v>729</v>
      </c>
      <c r="D272" s="168"/>
      <c r="E272" s="168"/>
      <c r="F272" s="168"/>
      <c r="G272" s="168"/>
      <c r="H272" s="168"/>
      <c r="I272" s="168"/>
      <c r="J272" s="80" t="s">
        <v>3</v>
      </c>
      <c r="K272" s="80" t="s">
        <v>3</v>
      </c>
      <c r="L272" s="80" t="s">
        <v>3</v>
      </c>
      <c r="M272" s="81">
        <f>SUM(M273:M290)</f>
        <v>0</v>
      </c>
      <c r="AI272" s="72" t="s">
        <v>49</v>
      </c>
      <c r="AS272" s="82">
        <f>SUM(AJ273:AJ290)</f>
        <v>0</v>
      </c>
      <c r="AT272" s="82">
        <f>SUM(AK273:AK290)</f>
        <v>0</v>
      </c>
      <c r="AU272" s="82">
        <f>SUM(AL273:AL290)</f>
        <v>0</v>
      </c>
    </row>
    <row r="273" spans="1:64" ht="15" customHeight="1">
      <c r="A273" s="65" t="s">
        <v>486</v>
      </c>
      <c r="B273" s="66" t="s">
        <v>731</v>
      </c>
      <c r="C273" s="150" t="s">
        <v>732</v>
      </c>
      <c r="D273" s="150"/>
      <c r="E273" s="150"/>
      <c r="F273" s="150"/>
      <c r="G273" s="150"/>
      <c r="H273" s="150"/>
      <c r="I273" s="150"/>
      <c r="J273" s="66" t="s">
        <v>55</v>
      </c>
      <c r="K273" s="83">
        <v>6</v>
      </c>
      <c r="L273" s="108"/>
      <c r="M273" s="84">
        <f>K273*L273</f>
        <v>0</v>
      </c>
      <c r="Z273" s="83">
        <f>IF(AQ273="5",BJ273,0)</f>
        <v>0</v>
      </c>
      <c r="AB273" s="83">
        <f>IF(AQ273="1",BH273,0)</f>
        <v>0</v>
      </c>
      <c r="AC273" s="83">
        <f>IF(AQ273="1",BI273,0)</f>
        <v>0</v>
      </c>
      <c r="AD273" s="83">
        <f>IF(AQ273="7",BH273,0)</f>
        <v>0</v>
      </c>
      <c r="AE273" s="83">
        <f>IF(AQ273="7",BI273,0)</f>
        <v>0</v>
      </c>
      <c r="AF273" s="83">
        <f>IF(AQ273="2",BH273,0)</f>
        <v>0</v>
      </c>
      <c r="AG273" s="83">
        <f>IF(AQ273="2",BI273,0)</f>
        <v>0</v>
      </c>
      <c r="AH273" s="83">
        <f>IF(AQ273="0",BJ273,0)</f>
        <v>0</v>
      </c>
      <c r="AI273" s="72" t="s">
        <v>49</v>
      </c>
      <c r="AJ273" s="83">
        <f>IF(AN273=0,M273,0)</f>
        <v>0</v>
      </c>
      <c r="AK273" s="83">
        <f>IF(AN273=15,M273,0)</f>
        <v>0</v>
      </c>
      <c r="AL273" s="83">
        <f>IF(AN273=21,M273,0)</f>
        <v>0</v>
      </c>
      <c r="AN273" s="83">
        <v>21</v>
      </c>
      <c r="AO273" s="83">
        <f>L273*0.321238636363636</f>
        <v>0</v>
      </c>
      <c r="AP273" s="83">
        <f>L273*(1-0.321238636363636)</f>
        <v>0</v>
      </c>
      <c r="AQ273" s="85" t="s">
        <v>52</v>
      </c>
      <c r="AV273" s="83">
        <f>AW273+AX273</f>
        <v>0</v>
      </c>
      <c r="AW273" s="83">
        <f>K273*AO273</f>
        <v>0</v>
      </c>
      <c r="AX273" s="83">
        <f>K273*AP273</f>
        <v>0</v>
      </c>
      <c r="AY273" s="85" t="s">
        <v>733</v>
      </c>
      <c r="AZ273" s="85" t="s">
        <v>724</v>
      </c>
      <c r="BA273" s="72" t="s">
        <v>58</v>
      </c>
      <c r="BC273" s="83">
        <f>AW273+AX273</f>
        <v>0</v>
      </c>
      <c r="BD273" s="83">
        <f>L273/(100-BE273)*100</f>
        <v>0</v>
      </c>
      <c r="BE273" s="83">
        <v>0</v>
      </c>
      <c r="BF273" s="83">
        <f>273</f>
        <v>273</v>
      </c>
      <c r="BH273" s="83">
        <f>K273*AO273</f>
        <v>0</v>
      </c>
      <c r="BI273" s="83">
        <f>K273*AP273</f>
        <v>0</v>
      </c>
      <c r="BJ273" s="83">
        <f>K273*L273</f>
        <v>0</v>
      </c>
      <c r="BK273" s="83"/>
      <c r="BL273" s="83">
        <v>89</v>
      </c>
    </row>
    <row r="274" spans="1:13" ht="15" customHeight="1">
      <c r="A274" s="86"/>
      <c r="C274" s="87" t="s">
        <v>59</v>
      </c>
      <c r="I274" s="87" t="s">
        <v>49</v>
      </c>
      <c r="K274" s="88">
        <v>6.000000000000001</v>
      </c>
      <c r="M274" s="89"/>
    </row>
    <row r="275" spans="1:64" ht="15" customHeight="1">
      <c r="A275" s="65" t="s">
        <v>489</v>
      </c>
      <c r="B275" s="66" t="s">
        <v>735</v>
      </c>
      <c r="C275" s="150" t="s">
        <v>736</v>
      </c>
      <c r="D275" s="150"/>
      <c r="E275" s="150"/>
      <c r="F275" s="150"/>
      <c r="G275" s="150"/>
      <c r="H275" s="150"/>
      <c r="I275" s="150"/>
      <c r="J275" s="66" t="s">
        <v>55</v>
      </c>
      <c r="K275" s="83">
        <v>2</v>
      </c>
      <c r="L275" s="108"/>
      <c r="M275" s="84">
        <f>K275*L275</f>
        <v>0</v>
      </c>
      <c r="Z275" s="83">
        <f>IF(AQ275="5",BJ275,0)</f>
        <v>0</v>
      </c>
      <c r="AB275" s="83">
        <f>IF(AQ275="1",BH275,0)</f>
        <v>0</v>
      </c>
      <c r="AC275" s="83">
        <f>IF(AQ275="1",BI275,0)</f>
        <v>0</v>
      </c>
      <c r="AD275" s="83">
        <f>IF(AQ275="7",BH275,0)</f>
        <v>0</v>
      </c>
      <c r="AE275" s="83">
        <f>IF(AQ275="7",BI275,0)</f>
        <v>0</v>
      </c>
      <c r="AF275" s="83">
        <f>IF(AQ275="2",BH275,0)</f>
        <v>0</v>
      </c>
      <c r="AG275" s="83">
        <f>IF(AQ275="2",BI275,0)</f>
        <v>0</v>
      </c>
      <c r="AH275" s="83">
        <f>IF(AQ275="0",BJ275,0)</f>
        <v>0</v>
      </c>
      <c r="AI275" s="72" t="s">
        <v>49</v>
      </c>
      <c r="AJ275" s="83">
        <f>IF(AN275=0,M275,0)</f>
        <v>0</v>
      </c>
      <c r="AK275" s="83">
        <f>IF(AN275=15,M275,0)</f>
        <v>0</v>
      </c>
      <c r="AL275" s="83">
        <f>IF(AN275=21,M275,0)</f>
        <v>0</v>
      </c>
      <c r="AN275" s="83">
        <v>21</v>
      </c>
      <c r="AO275" s="83">
        <f>L275*0.0523675606839212</f>
        <v>0</v>
      </c>
      <c r="AP275" s="83">
        <f>L275*(1-0.0523675606839212)</f>
        <v>0</v>
      </c>
      <c r="AQ275" s="85" t="s">
        <v>52</v>
      </c>
      <c r="AV275" s="83">
        <f>AW275+AX275</f>
        <v>0</v>
      </c>
      <c r="AW275" s="83">
        <f>K275*AO275</f>
        <v>0</v>
      </c>
      <c r="AX275" s="83">
        <f>K275*AP275</f>
        <v>0</v>
      </c>
      <c r="AY275" s="85" t="s">
        <v>733</v>
      </c>
      <c r="AZ275" s="85" t="s">
        <v>724</v>
      </c>
      <c r="BA275" s="72" t="s">
        <v>58</v>
      </c>
      <c r="BC275" s="83">
        <f>AW275+AX275</f>
        <v>0</v>
      </c>
      <c r="BD275" s="83">
        <f>L275/(100-BE275)*100</f>
        <v>0</v>
      </c>
      <c r="BE275" s="83">
        <v>0</v>
      </c>
      <c r="BF275" s="83">
        <f>275</f>
        <v>275</v>
      </c>
      <c r="BH275" s="83">
        <f>K275*AO275</f>
        <v>0</v>
      </c>
      <c r="BI275" s="83">
        <f>K275*AP275</f>
        <v>0</v>
      </c>
      <c r="BJ275" s="83">
        <f>K275*L275</f>
        <v>0</v>
      </c>
      <c r="BK275" s="83"/>
      <c r="BL275" s="83">
        <v>89</v>
      </c>
    </row>
    <row r="276" spans="1:13" ht="15" customHeight="1">
      <c r="A276" s="86"/>
      <c r="C276" s="87" t="s">
        <v>62</v>
      </c>
      <c r="I276" s="87" t="s">
        <v>49</v>
      </c>
      <c r="K276" s="88">
        <v>2</v>
      </c>
      <c r="M276" s="89"/>
    </row>
    <row r="277" spans="1:13" ht="81" customHeight="1">
      <c r="A277" s="86"/>
      <c r="B277" s="90" t="s">
        <v>60</v>
      </c>
      <c r="C277" s="161" t="s">
        <v>737</v>
      </c>
      <c r="D277" s="162"/>
      <c r="E277" s="162"/>
      <c r="F277" s="162"/>
      <c r="G277" s="162"/>
      <c r="H277" s="162"/>
      <c r="I277" s="162"/>
      <c r="J277" s="162"/>
      <c r="K277" s="162"/>
      <c r="L277" s="162"/>
      <c r="M277" s="163"/>
    </row>
    <row r="278" spans="1:64" ht="15" customHeight="1">
      <c r="A278" s="65" t="s">
        <v>493</v>
      </c>
      <c r="B278" s="66" t="s">
        <v>739</v>
      </c>
      <c r="C278" s="150" t="s">
        <v>740</v>
      </c>
      <c r="D278" s="150"/>
      <c r="E278" s="150"/>
      <c r="F278" s="150"/>
      <c r="G278" s="150"/>
      <c r="H278" s="150"/>
      <c r="I278" s="150"/>
      <c r="J278" s="66" t="s">
        <v>55</v>
      </c>
      <c r="K278" s="83">
        <v>2</v>
      </c>
      <c r="L278" s="108"/>
      <c r="M278" s="84">
        <f>K278*L278</f>
        <v>0</v>
      </c>
      <c r="Z278" s="83">
        <f>IF(AQ278="5",BJ278,0)</f>
        <v>0</v>
      </c>
      <c r="AB278" s="83">
        <f>IF(AQ278="1",BH278,0)</f>
        <v>0</v>
      </c>
      <c r="AC278" s="83">
        <f>IF(AQ278="1",BI278,0)</f>
        <v>0</v>
      </c>
      <c r="AD278" s="83">
        <f>IF(AQ278="7",BH278,0)</f>
        <v>0</v>
      </c>
      <c r="AE278" s="83">
        <f>IF(AQ278="7",BI278,0)</f>
        <v>0</v>
      </c>
      <c r="AF278" s="83">
        <f>IF(AQ278="2",BH278,0)</f>
        <v>0</v>
      </c>
      <c r="AG278" s="83">
        <f>IF(AQ278="2",BI278,0)</f>
        <v>0</v>
      </c>
      <c r="AH278" s="83">
        <f>IF(AQ278="0",BJ278,0)</f>
        <v>0</v>
      </c>
      <c r="AI278" s="72" t="s">
        <v>49</v>
      </c>
      <c r="AJ278" s="83">
        <f>IF(AN278=0,M278,0)</f>
        <v>0</v>
      </c>
      <c r="AK278" s="83">
        <f>IF(AN278=15,M278,0)</f>
        <v>0</v>
      </c>
      <c r="AL278" s="83">
        <f>IF(AN278=21,M278,0)</f>
        <v>0</v>
      </c>
      <c r="AN278" s="83">
        <v>21</v>
      </c>
      <c r="AO278" s="83">
        <f>L278*1</f>
        <v>0</v>
      </c>
      <c r="AP278" s="83">
        <f>L278*(1-1)</f>
        <v>0</v>
      </c>
      <c r="AQ278" s="85" t="s">
        <v>52</v>
      </c>
      <c r="AV278" s="83">
        <f>AW278+AX278</f>
        <v>0</v>
      </c>
      <c r="AW278" s="83">
        <f>K278*AO278</f>
        <v>0</v>
      </c>
      <c r="AX278" s="83">
        <f>K278*AP278</f>
        <v>0</v>
      </c>
      <c r="AY278" s="85" t="s">
        <v>733</v>
      </c>
      <c r="AZ278" s="85" t="s">
        <v>724</v>
      </c>
      <c r="BA278" s="72" t="s">
        <v>58</v>
      </c>
      <c r="BC278" s="83">
        <f>AW278+AX278</f>
        <v>0</v>
      </c>
      <c r="BD278" s="83">
        <f>L278/(100-BE278)*100</f>
        <v>0</v>
      </c>
      <c r="BE278" s="83">
        <v>0</v>
      </c>
      <c r="BF278" s="83">
        <f>278</f>
        <v>278</v>
      </c>
      <c r="BH278" s="83">
        <f>K278*AO278</f>
        <v>0</v>
      </c>
      <c r="BI278" s="83">
        <f>K278*AP278</f>
        <v>0</v>
      </c>
      <c r="BJ278" s="83">
        <f>K278*L278</f>
        <v>0</v>
      </c>
      <c r="BK278" s="83"/>
      <c r="BL278" s="83">
        <v>89</v>
      </c>
    </row>
    <row r="279" spans="1:13" ht="15" customHeight="1">
      <c r="A279" s="86"/>
      <c r="C279" s="87" t="s">
        <v>62</v>
      </c>
      <c r="I279" s="87" t="s">
        <v>49</v>
      </c>
      <c r="K279" s="88">
        <v>2</v>
      </c>
      <c r="M279" s="89"/>
    </row>
    <row r="280" spans="1:64" ht="15" customHeight="1">
      <c r="A280" s="65" t="s">
        <v>106</v>
      </c>
      <c r="B280" s="66" t="s">
        <v>742</v>
      </c>
      <c r="C280" s="150" t="s">
        <v>743</v>
      </c>
      <c r="D280" s="150"/>
      <c r="E280" s="150"/>
      <c r="F280" s="150"/>
      <c r="G280" s="150"/>
      <c r="H280" s="150"/>
      <c r="I280" s="150"/>
      <c r="J280" s="66" t="s">
        <v>55</v>
      </c>
      <c r="K280" s="83">
        <v>2</v>
      </c>
      <c r="L280" s="108"/>
      <c r="M280" s="84">
        <f>K280*L280</f>
        <v>0</v>
      </c>
      <c r="Z280" s="83">
        <f>IF(AQ280="5",BJ280,0)</f>
        <v>0</v>
      </c>
      <c r="AB280" s="83">
        <f>IF(AQ280="1",BH280,0)</f>
        <v>0</v>
      </c>
      <c r="AC280" s="83">
        <f>IF(AQ280="1",BI280,0)</f>
        <v>0</v>
      </c>
      <c r="AD280" s="83">
        <f>IF(AQ280="7",BH280,0)</f>
        <v>0</v>
      </c>
      <c r="AE280" s="83">
        <f>IF(AQ280="7",BI280,0)</f>
        <v>0</v>
      </c>
      <c r="AF280" s="83">
        <f>IF(AQ280="2",BH280,0)</f>
        <v>0</v>
      </c>
      <c r="AG280" s="83">
        <f>IF(AQ280="2",BI280,0)</f>
        <v>0</v>
      </c>
      <c r="AH280" s="83">
        <f>IF(AQ280="0",BJ280,0)</f>
        <v>0</v>
      </c>
      <c r="AI280" s="72" t="s">
        <v>49</v>
      </c>
      <c r="AJ280" s="83">
        <f>IF(AN280=0,M280,0)</f>
        <v>0</v>
      </c>
      <c r="AK280" s="83">
        <f>IF(AN280=15,M280,0)</f>
        <v>0</v>
      </c>
      <c r="AL280" s="83">
        <f>IF(AN280=21,M280,0)</f>
        <v>0</v>
      </c>
      <c r="AN280" s="83">
        <v>21</v>
      </c>
      <c r="AO280" s="83">
        <f>L280*1</f>
        <v>0</v>
      </c>
      <c r="AP280" s="83">
        <f>L280*(1-1)</f>
        <v>0</v>
      </c>
      <c r="AQ280" s="85" t="s">
        <v>52</v>
      </c>
      <c r="AV280" s="83">
        <f>AW280+AX280</f>
        <v>0</v>
      </c>
      <c r="AW280" s="83">
        <f>K280*AO280</f>
        <v>0</v>
      </c>
      <c r="AX280" s="83">
        <f>K280*AP280</f>
        <v>0</v>
      </c>
      <c r="AY280" s="85" t="s">
        <v>733</v>
      </c>
      <c r="AZ280" s="85" t="s">
        <v>724</v>
      </c>
      <c r="BA280" s="72" t="s">
        <v>58</v>
      </c>
      <c r="BC280" s="83">
        <f>AW280+AX280</f>
        <v>0</v>
      </c>
      <c r="BD280" s="83">
        <f>L280/(100-BE280)*100</f>
        <v>0</v>
      </c>
      <c r="BE280" s="83">
        <v>0</v>
      </c>
      <c r="BF280" s="83">
        <f>280</f>
        <v>280</v>
      </c>
      <c r="BH280" s="83">
        <f>K280*AO280</f>
        <v>0</v>
      </c>
      <c r="BI280" s="83">
        <f>K280*AP280</f>
        <v>0</v>
      </c>
      <c r="BJ280" s="83">
        <f>K280*L280</f>
        <v>0</v>
      </c>
      <c r="BK280" s="83"/>
      <c r="BL280" s="83">
        <v>89</v>
      </c>
    </row>
    <row r="281" spans="1:13" ht="15" customHeight="1">
      <c r="A281" s="86"/>
      <c r="C281" s="87" t="s">
        <v>62</v>
      </c>
      <c r="I281" s="87" t="s">
        <v>49</v>
      </c>
      <c r="K281" s="88">
        <v>2</v>
      </c>
      <c r="M281" s="89"/>
    </row>
    <row r="282" spans="1:64" ht="15" customHeight="1">
      <c r="A282" s="65" t="s">
        <v>186</v>
      </c>
      <c r="B282" s="66" t="s">
        <v>745</v>
      </c>
      <c r="C282" s="150" t="s">
        <v>746</v>
      </c>
      <c r="D282" s="150"/>
      <c r="E282" s="150"/>
      <c r="F282" s="150"/>
      <c r="G282" s="150"/>
      <c r="H282" s="150"/>
      <c r="I282" s="150"/>
      <c r="J282" s="66" t="s">
        <v>55</v>
      </c>
      <c r="K282" s="83">
        <v>1</v>
      </c>
      <c r="L282" s="108"/>
      <c r="M282" s="84">
        <f>K282*L282</f>
        <v>0</v>
      </c>
      <c r="Z282" s="83">
        <f>IF(AQ282="5",BJ282,0)</f>
        <v>0</v>
      </c>
      <c r="AB282" s="83">
        <f>IF(AQ282="1",BH282,0)</f>
        <v>0</v>
      </c>
      <c r="AC282" s="83">
        <f>IF(AQ282="1",BI282,0)</f>
        <v>0</v>
      </c>
      <c r="AD282" s="83">
        <f>IF(AQ282="7",BH282,0)</f>
        <v>0</v>
      </c>
      <c r="AE282" s="83">
        <f>IF(AQ282="7",BI282,0)</f>
        <v>0</v>
      </c>
      <c r="AF282" s="83">
        <f>IF(AQ282="2",BH282,0)</f>
        <v>0</v>
      </c>
      <c r="AG282" s="83">
        <f>IF(AQ282="2",BI282,0)</f>
        <v>0</v>
      </c>
      <c r="AH282" s="83">
        <f>IF(AQ282="0",BJ282,0)</f>
        <v>0</v>
      </c>
      <c r="AI282" s="72" t="s">
        <v>49</v>
      </c>
      <c r="AJ282" s="83">
        <f>IF(AN282=0,M282,0)</f>
        <v>0</v>
      </c>
      <c r="AK282" s="83">
        <f>IF(AN282=15,M282,0)</f>
        <v>0</v>
      </c>
      <c r="AL282" s="83">
        <f>IF(AN282=21,M282,0)</f>
        <v>0</v>
      </c>
      <c r="AN282" s="83">
        <v>21</v>
      </c>
      <c r="AO282" s="83">
        <f>L282*1</f>
        <v>0</v>
      </c>
      <c r="AP282" s="83">
        <f>L282*(1-1)</f>
        <v>0</v>
      </c>
      <c r="AQ282" s="85" t="s">
        <v>52</v>
      </c>
      <c r="AV282" s="83">
        <f>AW282+AX282</f>
        <v>0</v>
      </c>
      <c r="AW282" s="83">
        <f>K282*AO282</f>
        <v>0</v>
      </c>
      <c r="AX282" s="83">
        <f>K282*AP282</f>
        <v>0</v>
      </c>
      <c r="AY282" s="85" t="s">
        <v>733</v>
      </c>
      <c r="AZ282" s="85" t="s">
        <v>724</v>
      </c>
      <c r="BA282" s="72" t="s">
        <v>58</v>
      </c>
      <c r="BC282" s="83">
        <f>AW282+AX282</f>
        <v>0</v>
      </c>
      <c r="BD282" s="83">
        <f>L282/(100-BE282)*100</f>
        <v>0</v>
      </c>
      <c r="BE282" s="83">
        <v>0</v>
      </c>
      <c r="BF282" s="83">
        <f>282</f>
        <v>282</v>
      </c>
      <c r="BH282" s="83">
        <f>K282*AO282</f>
        <v>0</v>
      </c>
      <c r="BI282" s="83">
        <f>K282*AP282</f>
        <v>0</v>
      </c>
      <c r="BJ282" s="83">
        <f>K282*L282</f>
        <v>0</v>
      </c>
      <c r="BK282" s="83"/>
      <c r="BL282" s="83">
        <v>89</v>
      </c>
    </row>
    <row r="283" spans="1:13" ht="15" customHeight="1">
      <c r="A283" s="86"/>
      <c r="C283" s="87" t="s">
        <v>52</v>
      </c>
      <c r="I283" s="87" t="s">
        <v>49</v>
      </c>
      <c r="K283" s="88">
        <v>1</v>
      </c>
      <c r="M283" s="89"/>
    </row>
    <row r="284" spans="1:64" ht="15" customHeight="1">
      <c r="A284" s="65" t="s">
        <v>506</v>
      </c>
      <c r="B284" s="66" t="s">
        <v>748</v>
      </c>
      <c r="C284" s="150" t="s">
        <v>749</v>
      </c>
      <c r="D284" s="150"/>
      <c r="E284" s="150"/>
      <c r="F284" s="150"/>
      <c r="G284" s="150"/>
      <c r="H284" s="150"/>
      <c r="I284" s="150"/>
      <c r="J284" s="66" t="s">
        <v>55</v>
      </c>
      <c r="K284" s="83">
        <v>2</v>
      </c>
      <c r="L284" s="108"/>
      <c r="M284" s="84">
        <f>K284*L284</f>
        <v>0</v>
      </c>
      <c r="Z284" s="83">
        <f>IF(AQ284="5",BJ284,0)</f>
        <v>0</v>
      </c>
      <c r="AB284" s="83">
        <f>IF(AQ284="1",BH284,0)</f>
        <v>0</v>
      </c>
      <c r="AC284" s="83">
        <f>IF(AQ284="1",BI284,0)</f>
        <v>0</v>
      </c>
      <c r="AD284" s="83">
        <f>IF(AQ284="7",BH284,0)</f>
        <v>0</v>
      </c>
      <c r="AE284" s="83">
        <f>IF(AQ284="7",BI284,0)</f>
        <v>0</v>
      </c>
      <c r="AF284" s="83">
        <f>IF(AQ284="2",BH284,0)</f>
        <v>0</v>
      </c>
      <c r="AG284" s="83">
        <f>IF(AQ284="2",BI284,0)</f>
        <v>0</v>
      </c>
      <c r="AH284" s="83">
        <f>IF(AQ284="0",BJ284,0)</f>
        <v>0</v>
      </c>
      <c r="AI284" s="72" t="s">
        <v>49</v>
      </c>
      <c r="AJ284" s="83">
        <f>IF(AN284=0,M284,0)</f>
        <v>0</v>
      </c>
      <c r="AK284" s="83">
        <f>IF(AN284=15,M284,0)</f>
        <v>0</v>
      </c>
      <c r="AL284" s="83">
        <f>IF(AN284=21,M284,0)</f>
        <v>0</v>
      </c>
      <c r="AN284" s="83">
        <v>21</v>
      </c>
      <c r="AO284" s="83">
        <f>L284*1</f>
        <v>0</v>
      </c>
      <c r="AP284" s="83">
        <f>L284*(1-1)</f>
        <v>0</v>
      </c>
      <c r="AQ284" s="85" t="s">
        <v>52</v>
      </c>
      <c r="AV284" s="83">
        <f>AW284+AX284</f>
        <v>0</v>
      </c>
      <c r="AW284" s="83">
        <f>K284*AO284</f>
        <v>0</v>
      </c>
      <c r="AX284" s="83">
        <f>K284*AP284</f>
        <v>0</v>
      </c>
      <c r="AY284" s="85" t="s">
        <v>733</v>
      </c>
      <c r="AZ284" s="85" t="s">
        <v>724</v>
      </c>
      <c r="BA284" s="72" t="s">
        <v>58</v>
      </c>
      <c r="BC284" s="83">
        <f>AW284+AX284</f>
        <v>0</v>
      </c>
      <c r="BD284" s="83">
        <f>L284/(100-BE284)*100</f>
        <v>0</v>
      </c>
      <c r="BE284" s="83">
        <v>0</v>
      </c>
      <c r="BF284" s="83">
        <f>284</f>
        <v>284</v>
      </c>
      <c r="BH284" s="83">
        <f>K284*AO284</f>
        <v>0</v>
      </c>
      <c r="BI284" s="83">
        <f>K284*AP284</f>
        <v>0</v>
      </c>
      <c r="BJ284" s="83">
        <f>K284*L284</f>
        <v>0</v>
      </c>
      <c r="BK284" s="83"/>
      <c r="BL284" s="83">
        <v>89</v>
      </c>
    </row>
    <row r="285" spans="1:13" ht="15" customHeight="1">
      <c r="A285" s="86"/>
      <c r="C285" s="87" t="s">
        <v>62</v>
      </c>
      <c r="I285" s="87" t="s">
        <v>49</v>
      </c>
      <c r="K285" s="88">
        <v>2</v>
      </c>
      <c r="M285" s="89"/>
    </row>
    <row r="286" spans="1:64" ht="15" customHeight="1">
      <c r="A286" s="65" t="s">
        <v>513</v>
      </c>
      <c r="B286" s="66" t="s">
        <v>751</v>
      </c>
      <c r="C286" s="150" t="s">
        <v>752</v>
      </c>
      <c r="D286" s="150"/>
      <c r="E286" s="150"/>
      <c r="F286" s="150"/>
      <c r="G286" s="150"/>
      <c r="H286" s="150"/>
      <c r="I286" s="150"/>
      <c r="J286" s="66" t="s">
        <v>55</v>
      </c>
      <c r="K286" s="83">
        <v>2</v>
      </c>
      <c r="L286" s="108"/>
      <c r="M286" s="84">
        <f>K286*L286</f>
        <v>0</v>
      </c>
      <c r="Z286" s="83">
        <f>IF(AQ286="5",BJ286,0)</f>
        <v>0</v>
      </c>
      <c r="AB286" s="83">
        <f>IF(AQ286="1",BH286,0)</f>
        <v>0</v>
      </c>
      <c r="AC286" s="83">
        <f>IF(AQ286="1",BI286,0)</f>
        <v>0</v>
      </c>
      <c r="AD286" s="83">
        <f>IF(AQ286="7",BH286,0)</f>
        <v>0</v>
      </c>
      <c r="AE286" s="83">
        <f>IF(AQ286="7",BI286,0)</f>
        <v>0</v>
      </c>
      <c r="AF286" s="83">
        <f>IF(AQ286="2",BH286,0)</f>
        <v>0</v>
      </c>
      <c r="AG286" s="83">
        <f>IF(AQ286="2",BI286,0)</f>
        <v>0</v>
      </c>
      <c r="AH286" s="83">
        <f>IF(AQ286="0",BJ286,0)</f>
        <v>0</v>
      </c>
      <c r="AI286" s="72" t="s">
        <v>49</v>
      </c>
      <c r="AJ286" s="83">
        <f>IF(AN286=0,M286,0)</f>
        <v>0</v>
      </c>
      <c r="AK286" s="83">
        <f>IF(AN286=15,M286,0)</f>
        <v>0</v>
      </c>
      <c r="AL286" s="83">
        <f>IF(AN286=21,M286,0)</f>
        <v>0</v>
      </c>
      <c r="AN286" s="83">
        <v>21</v>
      </c>
      <c r="AO286" s="83">
        <f>L286*1</f>
        <v>0</v>
      </c>
      <c r="AP286" s="83">
        <f>L286*(1-1)</f>
        <v>0</v>
      </c>
      <c r="AQ286" s="85" t="s">
        <v>52</v>
      </c>
      <c r="AV286" s="83">
        <f>AW286+AX286</f>
        <v>0</v>
      </c>
      <c r="AW286" s="83">
        <f>K286*AO286</f>
        <v>0</v>
      </c>
      <c r="AX286" s="83">
        <f>K286*AP286</f>
        <v>0</v>
      </c>
      <c r="AY286" s="85" t="s">
        <v>733</v>
      </c>
      <c r="AZ286" s="85" t="s">
        <v>724</v>
      </c>
      <c r="BA286" s="72" t="s">
        <v>58</v>
      </c>
      <c r="BC286" s="83">
        <f>AW286+AX286</f>
        <v>0</v>
      </c>
      <c r="BD286" s="83">
        <f>L286/(100-BE286)*100</f>
        <v>0</v>
      </c>
      <c r="BE286" s="83">
        <v>0</v>
      </c>
      <c r="BF286" s="83">
        <f>286</f>
        <v>286</v>
      </c>
      <c r="BH286" s="83">
        <f>K286*AO286</f>
        <v>0</v>
      </c>
      <c r="BI286" s="83">
        <f>K286*AP286</f>
        <v>0</v>
      </c>
      <c r="BJ286" s="83">
        <f>K286*L286</f>
        <v>0</v>
      </c>
      <c r="BK286" s="83"/>
      <c r="BL286" s="83">
        <v>89</v>
      </c>
    </row>
    <row r="287" spans="1:13" ht="15" customHeight="1">
      <c r="A287" s="86"/>
      <c r="C287" s="87" t="s">
        <v>62</v>
      </c>
      <c r="I287" s="87" t="s">
        <v>49</v>
      </c>
      <c r="K287" s="88">
        <v>2</v>
      </c>
      <c r="M287" s="89"/>
    </row>
    <row r="288" spans="1:64" ht="15" customHeight="1">
      <c r="A288" s="65" t="s">
        <v>164</v>
      </c>
      <c r="B288" s="66" t="s">
        <v>754</v>
      </c>
      <c r="C288" s="150" t="s">
        <v>755</v>
      </c>
      <c r="D288" s="150"/>
      <c r="E288" s="150"/>
      <c r="F288" s="150"/>
      <c r="G288" s="150"/>
      <c r="H288" s="150"/>
      <c r="I288" s="150"/>
      <c r="J288" s="66" t="s">
        <v>55</v>
      </c>
      <c r="K288" s="83">
        <v>2</v>
      </c>
      <c r="L288" s="108"/>
      <c r="M288" s="84">
        <f>K288*L288</f>
        <v>0</v>
      </c>
      <c r="Z288" s="83">
        <f>IF(AQ288="5",BJ288,0)</f>
        <v>0</v>
      </c>
      <c r="AB288" s="83">
        <f>IF(AQ288="1",BH288,0)</f>
        <v>0</v>
      </c>
      <c r="AC288" s="83">
        <f>IF(AQ288="1",BI288,0)</f>
        <v>0</v>
      </c>
      <c r="AD288" s="83">
        <f>IF(AQ288="7",BH288,0)</f>
        <v>0</v>
      </c>
      <c r="AE288" s="83">
        <f>IF(AQ288="7",BI288,0)</f>
        <v>0</v>
      </c>
      <c r="AF288" s="83">
        <f>IF(AQ288="2",BH288,0)</f>
        <v>0</v>
      </c>
      <c r="AG288" s="83">
        <f>IF(AQ288="2",BI288,0)</f>
        <v>0</v>
      </c>
      <c r="AH288" s="83">
        <f>IF(AQ288="0",BJ288,0)</f>
        <v>0</v>
      </c>
      <c r="AI288" s="72" t="s">
        <v>49</v>
      </c>
      <c r="AJ288" s="83">
        <f>IF(AN288=0,M288,0)</f>
        <v>0</v>
      </c>
      <c r="AK288" s="83">
        <f>IF(AN288=15,M288,0)</f>
        <v>0</v>
      </c>
      <c r="AL288" s="83">
        <f>IF(AN288=21,M288,0)</f>
        <v>0</v>
      </c>
      <c r="AN288" s="83">
        <v>21</v>
      </c>
      <c r="AO288" s="83">
        <f>L288*1</f>
        <v>0</v>
      </c>
      <c r="AP288" s="83">
        <f>L288*(1-1)</f>
        <v>0</v>
      </c>
      <c r="AQ288" s="85" t="s">
        <v>52</v>
      </c>
      <c r="AV288" s="83">
        <f>AW288+AX288</f>
        <v>0</v>
      </c>
      <c r="AW288" s="83">
        <f>K288*AO288</f>
        <v>0</v>
      </c>
      <c r="AX288" s="83">
        <f>K288*AP288</f>
        <v>0</v>
      </c>
      <c r="AY288" s="85" t="s">
        <v>733</v>
      </c>
      <c r="AZ288" s="85" t="s">
        <v>724</v>
      </c>
      <c r="BA288" s="72" t="s">
        <v>58</v>
      </c>
      <c r="BC288" s="83">
        <f>AW288+AX288</f>
        <v>0</v>
      </c>
      <c r="BD288" s="83">
        <f>L288/(100-BE288)*100</f>
        <v>0</v>
      </c>
      <c r="BE288" s="83">
        <v>0</v>
      </c>
      <c r="BF288" s="83">
        <f>288</f>
        <v>288</v>
      </c>
      <c r="BH288" s="83">
        <f>K288*AO288</f>
        <v>0</v>
      </c>
      <c r="BI288" s="83">
        <f>K288*AP288</f>
        <v>0</v>
      </c>
      <c r="BJ288" s="83">
        <f>K288*L288</f>
        <v>0</v>
      </c>
      <c r="BK288" s="83"/>
      <c r="BL288" s="83">
        <v>89</v>
      </c>
    </row>
    <row r="289" spans="1:13" ht="15" customHeight="1">
      <c r="A289" s="86"/>
      <c r="C289" s="87" t="s">
        <v>62</v>
      </c>
      <c r="I289" s="87" t="s">
        <v>49</v>
      </c>
      <c r="K289" s="88">
        <v>2</v>
      </c>
      <c r="M289" s="89"/>
    </row>
    <row r="290" spans="1:64" ht="15" customHeight="1">
      <c r="A290" s="65" t="s">
        <v>527</v>
      </c>
      <c r="B290" s="66" t="s">
        <v>757</v>
      </c>
      <c r="C290" s="150" t="s">
        <v>758</v>
      </c>
      <c r="D290" s="150"/>
      <c r="E290" s="150"/>
      <c r="F290" s="150"/>
      <c r="G290" s="150"/>
      <c r="H290" s="150"/>
      <c r="I290" s="150"/>
      <c r="J290" s="66" t="s">
        <v>55</v>
      </c>
      <c r="K290" s="83">
        <v>2</v>
      </c>
      <c r="L290" s="108"/>
      <c r="M290" s="84">
        <f>K290*L290</f>
        <v>0</v>
      </c>
      <c r="Z290" s="83">
        <f>IF(AQ290="5",BJ290,0)</f>
        <v>0</v>
      </c>
      <c r="AB290" s="83">
        <f>IF(AQ290="1",BH290,0)</f>
        <v>0</v>
      </c>
      <c r="AC290" s="83">
        <f>IF(AQ290="1",BI290,0)</f>
        <v>0</v>
      </c>
      <c r="AD290" s="83">
        <f>IF(AQ290="7",BH290,0)</f>
        <v>0</v>
      </c>
      <c r="AE290" s="83">
        <f>IF(AQ290="7",BI290,0)</f>
        <v>0</v>
      </c>
      <c r="AF290" s="83">
        <f>IF(AQ290="2",BH290,0)</f>
        <v>0</v>
      </c>
      <c r="AG290" s="83">
        <f>IF(AQ290="2",BI290,0)</f>
        <v>0</v>
      </c>
      <c r="AH290" s="83">
        <f>IF(AQ290="0",BJ290,0)</f>
        <v>0</v>
      </c>
      <c r="AI290" s="72" t="s">
        <v>49</v>
      </c>
      <c r="AJ290" s="83">
        <f>IF(AN290=0,M290,0)</f>
        <v>0</v>
      </c>
      <c r="AK290" s="83">
        <f>IF(AN290=15,M290,0)</f>
        <v>0</v>
      </c>
      <c r="AL290" s="83">
        <f>IF(AN290=21,M290,0)</f>
        <v>0</v>
      </c>
      <c r="AN290" s="83">
        <v>21</v>
      </c>
      <c r="AO290" s="83">
        <f>L290*0.800743891402715</f>
        <v>0</v>
      </c>
      <c r="AP290" s="83">
        <f>L290*(1-0.800743891402715)</f>
        <v>0</v>
      </c>
      <c r="AQ290" s="85" t="s">
        <v>52</v>
      </c>
      <c r="AV290" s="83">
        <f>AW290+AX290</f>
        <v>0</v>
      </c>
      <c r="AW290" s="83">
        <f>K290*AO290</f>
        <v>0</v>
      </c>
      <c r="AX290" s="83">
        <f>K290*AP290</f>
        <v>0</v>
      </c>
      <c r="AY290" s="85" t="s">
        <v>733</v>
      </c>
      <c r="AZ290" s="85" t="s">
        <v>724</v>
      </c>
      <c r="BA290" s="72" t="s">
        <v>58</v>
      </c>
      <c r="BC290" s="83">
        <f>AW290+AX290</f>
        <v>0</v>
      </c>
      <c r="BD290" s="83">
        <f>L290/(100-BE290)*100</f>
        <v>0</v>
      </c>
      <c r="BE290" s="83">
        <v>0</v>
      </c>
      <c r="BF290" s="83">
        <f>290</f>
        <v>290</v>
      </c>
      <c r="BH290" s="83">
        <f>K290*AO290</f>
        <v>0</v>
      </c>
      <c r="BI290" s="83">
        <f>K290*AP290</f>
        <v>0</v>
      </c>
      <c r="BJ290" s="83">
        <f>K290*L290</f>
        <v>0</v>
      </c>
      <c r="BK290" s="83"/>
      <c r="BL290" s="83">
        <v>89</v>
      </c>
    </row>
    <row r="291" spans="1:13" ht="13.5" customHeight="1">
      <c r="A291" s="86"/>
      <c r="B291" s="90" t="s">
        <v>273</v>
      </c>
      <c r="C291" s="161" t="s">
        <v>759</v>
      </c>
      <c r="D291" s="162"/>
      <c r="E291" s="162"/>
      <c r="F291" s="162"/>
      <c r="G291" s="162"/>
      <c r="H291" s="162"/>
      <c r="I291" s="162"/>
      <c r="J291" s="162"/>
      <c r="K291" s="162"/>
      <c r="L291" s="162"/>
      <c r="M291" s="163"/>
    </row>
    <row r="292" spans="1:13" ht="15" customHeight="1">
      <c r="A292" s="86"/>
      <c r="C292" s="87" t="s">
        <v>62</v>
      </c>
      <c r="I292" s="87" t="s">
        <v>49</v>
      </c>
      <c r="K292" s="88">
        <v>2</v>
      </c>
      <c r="M292" s="89"/>
    </row>
    <row r="293" spans="1:13" ht="40.5" customHeight="1">
      <c r="A293" s="86"/>
      <c r="B293" s="90" t="s">
        <v>60</v>
      </c>
      <c r="C293" s="161" t="s">
        <v>760</v>
      </c>
      <c r="D293" s="162"/>
      <c r="E293" s="162"/>
      <c r="F293" s="162"/>
      <c r="G293" s="162"/>
      <c r="H293" s="162"/>
      <c r="I293" s="162"/>
      <c r="J293" s="162"/>
      <c r="K293" s="162"/>
      <c r="L293" s="162"/>
      <c r="M293" s="163"/>
    </row>
    <row r="294" spans="1:47" ht="15" customHeight="1">
      <c r="A294" s="78" t="s">
        <v>49</v>
      </c>
      <c r="B294" s="79" t="s">
        <v>562</v>
      </c>
      <c r="C294" s="168" t="s">
        <v>776</v>
      </c>
      <c r="D294" s="168"/>
      <c r="E294" s="168"/>
      <c r="F294" s="168"/>
      <c r="G294" s="168"/>
      <c r="H294" s="168"/>
      <c r="I294" s="168"/>
      <c r="J294" s="80" t="s">
        <v>3</v>
      </c>
      <c r="K294" s="80" t="s">
        <v>3</v>
      </c>
      <c r="L294" s="80" t="s">
        <v>3</v>
      </c>
      <c r="M294" s="81">
        <f>SUM(M295:M332)</f>
        <v>0</v>
      </c>
      <c r="AI294" s="72" t="s">
        <v>49</v>
      </c>
      <c r="AS294" s="82">
        <f>SUM(AJ295:AJ332)</f>
        <v>0</v>
      </c>
      <c r="AT294" s="82">
        <f>SUM(AK295:AK332)</f>
        <v>0</v>
      </c>
      <c r="AU294" s="82">
        <f>SUM(AL295:AL332)</f>
        <v>0</v>
      </c>
    </row>
    <row r="295" spans="1:64" ht="15" customHeight="1">
      <c r="A295" s="65" t="s">
        <v>149</v>
      </c>
      <c r="B295" s="66" t="s">
        <v>778</v>
      </c>
      <c r="C295" s="150" t="s">
        <v>779</v>
      </c>
      <c r="D295" s="150"/>
      <c r="E295" s="150"/>
      <c r="F295" s="150"/>
      <c r="G295" s="150"/>
      <c r="H295" s="150"/>
      <c r="I295" s="150"/>
      <c r="J295" s="66" t="s">
        <v>191</v>
      </c>
      <c r="K295" s="83">
        <v>13</v>
      </c>
      <c r="L295" s="108"/>
      <c r="M295" s="84">
        <f>K295*L295</f>
        <v>0</v>
      </c>
      <c r="Z295" s="83">
        <f>IF(AQ295="5",BJ295,0)</f>
        <v>0</v>
      </c>
      <c r="AB295" s="83">
        <f>IF(AQ295="1",BH295,0)</f>
        <v>0</v>
      </c>
      <c r="AC295" s="83">
        <f>IF(AQ295="1",BI295,0)</f>
        <v>0</v>
      </c>
      <c r="AD295" s="83">
        <f>IF(AQ295="7",BH295,0)</f>
        <v>0</v>
      </c>
      <c r="AE295" s="83">
        <f>IF(AQ295="7",BI295,0)</f>
        <v>0</v>
      </c>
      <c r="AF295" s="83">
        <f>IF(AQ295="2",BH295,0)</f>
        <v>0</v>
      </c>
      <c r="AG295" s="83">
        <f>IF(AQ295="2",BI295,0)</f>
        <v>0</v>
      </c>
      <c r="AH295" s="83">
        <f>IF(AQ295="0",BJ295,0)</f>
        <v>0</v>
      </c>
      <c r="AI295" s="72" t="s">
        <v>49</v>
      </c>
      <c r="AJ295" s="83">
        <f>IF(AN295=0,M295,0)</f>
        <v>0</v>
      </c>
      <c r="AK295" s="83">
        <f>IF(AN295=15,M295,0)</f>
        <v>0</v>
      </c>
      <c r="AL295" s="83">
        <f>IF(AN295=21,M295,0)</f>
        <v>0</v>
      </c>
      <c r="AN295" s="83">
        <v>21</v>
      </c>
      <c r="AO295" s="83">
        <f>L295*0.488173913043478</f>
        <v>0</v>
      </c>
      <c r="AP295" s="83">
        <f>L295*(1-0.488173913043478)</f>
        <v>0</v>
      </c>
      <c r="AQ295" s="85" t="s">
        <v>52</v>
      </c>
      <c r="AV295" s="83">
        <f>AW295+AX295</f>
        <v>0</v>
      </c>
      <c r="AW295" s="83">
        <f>K295*AO295</f>
        <v>0</v>
      </c>
      <c r="AX295" s="83">
        <f>K295*AP295</f>
        <v>0</v>
      </c>
      <c r="AY295" s="85" t="s">
        <v>780</v>
      </c>
      <c r="AZ295" s="85" t="s">
        <v>781</v>
      </c>
      <c r="BA295" s="72" t="s">
        <v>58</v>
      </c>
      <c r="BC295" s="83">
        <f>AW295+AX295</f>
        <v>0</v>
      </c>
      <c r="BD295" s="83">
        <f>L295/(100-BE295)*100</f>
        <v>0</v>
      </c>
      <c r="BE295" s="83">
        <v>0</v>
      </c>
      <c r="BF295" s="83">
        <f>295</f>
        <v>295</v>
      </c>
      <c r="BH295" s="83">
        <f>K295*AO295</f>
        <v>0</v>
      </c>
      <c r="BI295" s="83">
        <f>K295*AP295</f>
        <v>0</v>
      </c>
      <c r="BJ295" s="83">
        <f>K295*L295</f>
        <v>0</v>
      </c>
      <c r="BK295" s="83"/>
      <c r="BL295" s="83">
        <v>91</v>
      </c>
    </row>
    <row r="296" spans="1:13" ht="15" customHeight="1">
      <c r="A296" s="86"/>
      <c r="C296" s="87" t="s">
        <v>132</v>
      </c>
      <c r="I296" s="87" t="s">
        <v>49</v>
      </c>
      <c r="K296" s="88">
        <v>13.000000000000002</v>
      </c>
      <c r="M296" s="89"/>
    </row>
    <row r="297" spans="1:13" ht="13.5" customHeight="1">
      <c r="A297" s="86"/>
      <c r="B297" s="90" t="s">
        <v>60</v>
      </c>
      <c r="C297" s="161" t="s">
        <v>785</v>
      </c>
      <c r="D297" s="162"/>
      <c r="E297" s="162"/>
      <c r="F297" s="162"/>
      <c r="G297" s="162"/>
      <c r="H297" s="162"/>
      <c r="I297" s="162"/>
      <c r="J297" s="162"/>
      <c r="K297" s="162"/>
      <c r="L297" s="162"/>
      <c r="M297" s="163"/>
    </row>
    <row r="298" spans="1:64" ht="15" customHeight="1">
      <c r="A298" s="65" t="s">
        <v>543</v>
      </c>
      <c r="B298" s="66" t="s">
        <v>799</v>
      </c>
      <c r="C298" s="150" t="s">
        <v>800</v>
      </c>
      <c r="D298" s="150"/>
      <c r="E298" s="150"/>
      <c r="F298" s="150"/>
      <c r="G298" s="150"/>
      <c r="H298" s="150"/>
      <c r="I298" s="150"/>
      <c r="J298" s="66" t="s">
        <v>191</v>
      </c>
      <c r="K298" s="83">
        <v>11</v>
      </c>
      <c r="L298" s="108"/>
      <c r="M298" s="84">
        <f>K298*L298</f>
        <v>0</v>
      </c>
      <c r="Z298" s="83">
        <f>IF(AQ298="5",BJ298,0)</f>
        <v>0</v>
      </c>
      <c r="AB298" s="83">
        <f>IF(AQ298="1",BH298,0)</f>
        <v>0</v>
      </c>
      <c r="AC298" s="83">
        <f>IF(AQ298="1",BI298,0)</f>
        <v>0</v>
      </c>
      <c r="AD298" s="83">
        <f>IF(AQ298="7",BH298,0)</f>
        <v>0</v>
      </c>
      <c r="AE298" s="83">
        <f>IF(AQ298="7",BI298,0)</f>
        <v>0</v>
      </c>
      <c r="AF298" s="83">
        <f>IF(AQ298="2",BH298,0)</f>
        <v>0</v>
      </c>
      <c r="AG298" s="83">
        <f>IF(AQ298="2",BI298,0)</f>
        <v>0</v>
      </c>
      <c r="AH298" s="83">
        <f>IF(AQ298="0",BJ298,0)</f>
        <v>0</v>
      </c>
      <c r="AI298" s="72" t="s">
        <v>49</v>
      </c>
      <c r="AJ298" s="83">
        <f>IF(AN298=0,M298,0)</f>
        <v>0</v>
      </c>
      <c r="AK298" s="83">
        <f>IF(AN298=15,M298,0)</f>
        <v>0</v>
      </c>
      <c r="AL298" s="83">
        <f>IF(AN298=21,M298,0)</f>
        <v>0</v>
      </c>
      <c r="AN298" s="83">
        <v>21</v>
      </c>
      <c r="AO298" s="83">
        <f>L298*0.494710560860724</f>
        <v>0</v>
      </c>
      <c r="AP298" s="83">
        <f>L298*(1-0.494710560860724)</f>
        <v>0</v>
      </c>
      <c r="AQ298" s="85" t="s">
        <v>52</v>
      </c>
      <c r="AV298" s="83">
        <f>AW298+AX298</f>
        <v>0</v>
      </c>
      <c r="AW298" s="83">
        <f>K298*AO298</f>
        <v>0</v>
      </c>
      <c r="AX298" s="83">
        <f>K298*AP298</f>
        <v>0</v>
      </c>
      <c r="AY298" s="85" t="s">
        <v>780</v>
      </c>
      <c r="AZ298" s="85" t="s">
        <v>781</v>
      </c>
      <c r="BA298" s="72" t="s">
        <v>58</v>
      </c>
      <c r="BC298" s="83">
        <f>AW298+AX298</f>
        <v>0</v>
      </c>
      <c r="BD298" s="83">
        <f>L298/(100-BE298)*100</f>
        <v>0</v>
      </c>
      <c r="BE298" s="83">
        <v>0</v>
      </c>
      <c r="BF298" s="83">
        <f>298</f>
        <v>298</v>
      </c>
      <c r="BH298" s="83">
        <f>K298*AO298</f>
        <v>0</v>
      </c>
      <c r="BI298" s="83">
        <f>K298*AP298</f>
        <v>0</v>
      </c>
      <c r="BJ298" s="83">
        <f>K298*L298</f>
        <v>0</v>
      </c>
      <c r="BK298" s="83"/>
      <c r="BL298" s="83">
        <v>91</v>
      </c>
    </row>
    <row r="299" spans="1:13" ht="15" customHeight="1">
      <c r="A299" s="86"/>
      <c r="C299" s="87" t="s">
        <v>50</v>
      </c>
      <c r="I299" s="87" t="s">
        <v>802</v>
      </c>
      <c r="K299" s="88">
        <v>11.000000000000002</v>
      </c>
      <c r="M299" s="89"/>
    </row>
    <row r="300" spans="1:13" ht="13.5" customHeight="1">
      <c r="A300" s="86"/>
      <c r="B300" s="90" t="s">
        <v>60</v>
      </c>
      <c r="C300" s="161" t="s">
        <v>803</v>
      </c>
      <c r="D300" s="162"/>
      <c r="E300" s="162"/>
      <c r="F300" s="162"/>
      <c r="G300" s="162"/>
      <c r="H300" s="162"/>
      <c r="I300" s="162"/>
      <c r="J300" s="162"/>
      <c r="K300" s="162"/>
      <c r="L300" s="162"/>
      <c r="M300" s="163"/>
    </row>
    <row r="301" spans="1:64" ht="15" customHeight="1">
      <c r="A301" s="65" t="s">
        <v>552</v>
      </c>
      <c r="B301" s="66" t="s">
        <v>805</v>
      </c>
      <c r="C301" s="150" t="s">
        <v>806</v>
      </c>
      <c r="D301" s="150"/>
      <c r="E301" s="150"/>
      <c r="F301" s="150"/>
      <c r="G301" s="150"/>
      <c r="H301" s="150"/>
      <c r="I301" s="150"/>
      <c r="J301" s="66" t="s">
        <v>191</v>
      </c>
      <c r="K301" s="83">
        <v>11.11</v>
      </c>
      <c r="L301" s="108"/>
      <c r="M301" s="84">
        <f>K301*L301</f>
        <v>0</v>
      </c>
      <c r="Z301" s="83">
        <f>IF(AQ301="5",BJ301,0)</f>
        <v>0</v>
      </c>
      <c r="AB301" s="83">
        <f>IF(AQ301="1",BH301,0)</f>
        <v>0</v>
      </c>
      <c r="AC301" s="83">
        <f>IF(AQ301="1",BI301,0)</f>
        <v>0</v>
      </c>
      <c r="AD301" s="83">
        <f>IF(AQ301="7",BH301,0)</f>
        <v>0</v>
      </c>
      <c r="AE301" s="83">
        <f>IF(AQ301="7",BI301,0)</f>
        <v>0</v>
      </c>
      <c r="AF301" s="83">
        <f>IF(AQ301="2",BH301,0)</f>
        <v>0</v>
      </c>
      <c r="AG301" s="83">
        <f>IF(AQ301="2",BI301,0)</f>
        <v>0</v>
      </c>
      <c r="AH301" s="83">
        <f>IF(AQ301="0",BJ301,0)</f>
        <v>0</v>
      </c>
      <c r="AI301" s="72" t="s">
        <v>49</v>
      </c>
      <c r="AJ301" s="83">
        <f>IF(AN301=0,M301,0)</f>
        <v>0</v>
      </c>
      <c r="AK301" s="83">
        <f>IF(AN301=15,M301,0)</f>
        <v>0</v>
      </c>
      <c r="AL301" s="83">
        <f>IF(AN301=21,M301,0)</f>
        <v>0</v>
      </c>
      <c r="AN301" s="83">
        <v>21</v>
      </c>
      <c r="AO301" s="83">
        <f>L301*1</f>
        <v>0</v>
      </c>
      <c r="AP301" s="83">
        <f>L301*(1-1)</f>
        <v>0</v>
      </c>
      <c r="AQ301" s="85" t="s">
        <v>52</v>
      </c>
      <c r="AV301" s="83">
        <f>AW301+AX301</f>
        <v>0</v>
      </c>
      <c r="AW301" s="83">
        <f>K301*AO301</f>
        <v>0</v>
      </c>
      <c r="AX301" s="83">
        <f>K301*AP301</f>
        <v>0</v>
      </c>
      <c r="AY301" s="85" t="s">
        <v>780</v>
      </c>
      <c r="AZ301" s="85" t="s">
        <v>781</v>
      </c>
      <c r="BA301" s="72" t="s">
        <v>58</v>
      </c>
      <c r="BC301" s="83">
        <f>AW301+AX301</f>
        <v>0</v>
      </c>
      <c r="BD301" s="83">
        <f>L301/(100-BE301)*100</f>
        <v>0</v>
      </c>
      <c r="BE301" s="83">
        <v>0</v>
      </c>
      <c r="BF301" s="83">
        <f>301</f>
        <v>301</v>
      </c>
      <c r="BH301" s="83">
        <f>K301*AO301</f>
        <v>0</v>
      </c>
      <c r="BI301" s="83">
        <f>K301*AP301</f>
        <v>0</v>
      </c>
      <c r="BJ301" s="83">
        <f>K301*L301</f>
        <v>0</v>
      </c>
      <c r="BK301" s="83"/>
      <c r="BL301" s="83">
        <v>91</v>
      </c>
    </row>
    <row r="302" spans="1:13" ht="15" customHeight="1">
      <c r="A302" s="86"/>
      <c r="C302" s="87" t="s">
        <v>50</v>
      </c>
      <c r="I302" s="87" t="s">
        <v>49</v>
      </c>
      <c r="K302" s="88">
        <v>11.000000000000002</v>
      </c>
      <c r="M302" s="89"/>
    </row>
    <row r="303" spans="1:13" ht="15" customHeight="1">
      <c r="A303" s="86"/>
      <c r="C303" s="87" t="s">
        <v>1171</v>
      </c>
      <c r="I303" s="87" t="s">
        <v>49</v>
      </c>
      <c r="K303" s="88">
        <v>0.11000000000000001</v>
      </c>
      <c r="M303" s="89"/>
    </row>
    <row r="304" spans="1:64" ht="15" customHeight="1">
      <c r="A304" s="65" t="s">
        <v>559</v>
      </c>
      <c r="B304" s="66" t="s">
        <v>811</v>
      </c>
      <c r="C304" s="115" t="s">
        <v>1304</v>
      </c>
      <c r="D304" s="150"/>
      <c r="E304" s="150"/>
      <c r="F304" s="150"/>
      <c r="G304" s="150"/>
      <c r="H304" s="150"/>
      <c r="I304" s="150"/>
      <c r="J304" s="66" t="s">
        <v>55</v>
      </c>
      <c r="K304" s="83">
        <v>16</v>
      </c>
      <c r="L304" s="108"/>
      <c r="M304" s="84">
        <f>K304*L304</f>
        <v>0</v>
      </c>
      <c r="Z304" s="83">
        <f>IF(AQ304="5",BJ304,0)</f>
        <v>0</v>
      </c>
      <c r="AB304" s="83">
        <f>IF(AQ304="1",BH304,0)</f>
        <v>0</v>
      </c>
      <c r="AC304" s="83">
        <f>IF(AQ304="1",BI304,0)</f>
        <v>0</v>
      </c>
      <c r="AD304" s="83">
        <f>IF(AQ304="7",BH304,0)</f>
        <v>0</v>
      </c>
      <c r="AE304" s="83">
        <f>IF(AQ304="7",BI304,0)</f>
        <v>0</v>
      </c>
      <c r="AF304" s="83">
        <f>IF(AQ304="2",BH304,0)</f>
        <v>0</v>
      </c>
      <c r="AG304" s="83">
        <f>IF(AQ304="2",BI304,0)</f>
        <v>0</v>
      </c>
      <c r="AH304" s="83">
        <f>IF(AQ304="0",BJ304,0)</f>
        <v>0</v>
      </c>
      <c r="AI304" s="72" t="s">
        <v>49</v>
      </c>
      <c r="AJ304" s="83">
        <f>IF(AN304=0,M304,0)</f>
        <v>0</v>
      </c>
      <c r="AK304" s="83">
        <f>IF(AN304=15,M304,0)</f>
        <v>0</v>
      </c>
      <c r="AL304" s="83">
        <f>IF(AN304=21,M304,0)</f>
        <v>0</v>
      </c>
      <c r="AN304" s="83">
        <v>21</v>
      </c>
      <c r="AO304" s="83">
        <f>L304*0</f>
        <v>0</v>
      </c>
      <c r="AP304" s="83">
        <f>L304*(1-0)</f>
        <v>0</v>
      </c>
      <c r="AQ304" s="85" t="s">
        <v>52</v>
      </c>
      <c r="AV304" s="83">
        <f>AW304+AX304</f>
        <v>0</v>
      </c>
      <c r="AW304" s="83">
        <f>K304*AO304</f>
        <v>0</v>
      </c>
      <c r="AX304" s="83">
        <f>K304*AP304</f>
        <v>0</v>
      </c>
      <c r="AY304" s="85" t="s">
        <v>780</v>
      </c>
      <c r="AZ304" s="85" t="s">
        <v>781</v>
      </c>
      <c r="BA304" s="72" t="s">
        <v>58</v>
      </c>
      <c r="BC304" s="83">
        <f>AW304+AX304</f>
        <v>0</v>
      </c>
      <c r="BD304" s="83">
        <f>L304/(100-BE304)*100</f>
        <v>0</v>
      </c>
      <c r="BE304" s="83">
        <v>0</v>
      </c>
      <c r="BF304" s="83">
        <f>304</f>
        <v>304</v>
      </c>
      <c r="BH304" s="83">
        <f>K304*AO304</f>
        <v>0</v>
      </c>
      <c r="BI304" s="83">
        <f>K304*AP304</f>
        <v>0</v>
      </c>
      <c r="BJ304" s="83">
        <f>K304*L304</f>
        <v>0</v>
      </c>
      <c r="BK304" s="83"/>
      <c r="BL304" s="83">
        <v>91</v>
      </c>
    </row>
    <row r="305" spans="1:13" ht="15" customHeight="1">
      <c r="A305" s="86"/>
      <c r="C305" s="87" t="s">
        <v>151</v>
      </c>
      <c r="I305" s="87" t="s">
        <v>49</v>
      </c>
      <c r="K305" s="88">
        <v>16</v>
      </c>
      <c r="M305" s="89"/>
    </row>
    <row r="306" spans="1:64" ht="15" customHeight="1">
      <c r="A306" s="65" t="s">
        <v>562</v>
      </c>
      <c r="B306" s="66" t="s">
        <v>815</v>
      </c>
      <c r="C306" s="150" t="s">
        <v>816</v>
      </c>
      <c r="D306" s="150"/>
      <c r="E306" s="150"/>
      <c r="F306" s="150"/>
      <c r="G306" s="150"/>
      <c r="H306" s="150"/>
      <c r="I306" s="150"/>
      <c r="J306" s="66" t="s">
        <v>191</v>
      </c>
      <c r="K306" s="83">
        <v>88</v>
      </c>
      <c r="L306" s="108"/>
      <c r="M306" s="84">
        <f>K306*L306</f>
        <v>0</v>
      </c>
      <c r="Z306" s="83">
        <f>IF(AQ306="5",BJ306,0)</f>
        <v>0</v>
      </c>
      <c r="AB306" s="83">
        <f>IF(AQ306="1",BH306,0)</f>
        <v>0</v>
      </c>
      <c r="AC306" s="83">
        <f>IF(AQ306="1",BI306,0)</f>
        <v>0</v>
      </c>
      <c r="AD306" s="83">
        <f>IF(AQ306="7",BH306,0)</f>
        <v>0</v>
      </c>
      <c r="AE306" s="83">
        <f>IF(AQ306="7",BI306,0)</f>
        <v>0</v>
      </c>
      <c r="AF306" s="83">
        <f>IF(AQ306="2",BH306,0)</f>
        <v>0</v>
      </c>
      <c r="AG306" s="83">
        <f>IF(AQ306="2",BI306,0)</f>
        <v>0</v>
      </c>
      <c r="AH306" s="83">
        <f>IF(AQ306="0",BJ306,0)</f>
        <v>0</v>
      </c>
      <c r="AI306" s="72" t="s">
        <v>49</v>
      </c>
      <c r="AJ306" s="83">
        <f>IF(AN306=0,M306,0)</f>
        <v>0</v>
      </c>
      <c r="AK306" s="83">
        <f>IF(AN306=15,M306,0)</f>
        <v>0</v>
      </c>
      <c r="AL306" s="83">
        <f>IF(AN306=21,M306,0)</f>
        <v>0</v>
      </c>
      <c r="AN306" s="83">
        <v>21</v>
      </c>
      <c r="AO306" s="83">
        <f>L306*0.516189190058197</f>
        <v>0</v>
      </c>
      <c r="AP306" s="83">
        <f>L306*(1-0.516189190058197)</f>
        <v>0</v>
      </c>
      <c r="AQ306" s="85" t="s">
        <v>52</v>
      </c>
      <c r="AV306" s="83">
        <f>AW306+AX306</f>
        <v>0</v>
      </c>
      <c r="AW306" s="83">
        <f>K306*AO306</f>
        <v>0</v>
      </c>
      <c r="AX306" s="83">
        <f>K306*AP306</f>
        <v>0</v>
      </c>
      <c r="AY306" s="85" t="s">
        <v>780</v>
      </c>
      <c r="AZ306" s="85" t="s">
        <v>781</v>
      </c>
      <c r="BA306" s="72" t="s">
        <v>58</v>
      </c>
      <c r="BC306" s="83">
        <f>AW306+AX306</f>
        <v>0</v>
      </c>
      <c r="BD306" s="83">
        <f>L306/(100-BE306)*100</f>
        <v>0</v>
      </c>
      <c r="BE306" s="83">
        <v>0</v>
      </c>
      <c r="BF306" s="83">
        <f>306</f>
        <v>306</v>
      </c>
      <c r="BH306" s="83">
        <f>K306*AO306</f>
        <v>0</v>
      </c>
      <c r="BI306" s="83">
        <f>K306*AP306</f>
        <v>0</v>
      </c>
      <c r="BJ306" s="83">
        <f>K306*L306</f>
        <v>0</v>
      </c>
      <c r="BK306" s="83"/>
      <c r="BL306" s="83">
        <v>91</v>
      </c>
    </row>
    <row r="307" spans="1:13" ht="15" customHeight="1">
      <c r="A307" s="86"/>
      <c r="C307" s="87" t="s">
        <v>543</v>
      </c>
      <c r="I307" s="87" t="s">
        <v>819</v>
      </c>
      <c r="K307" s="88">
        <v>88.00000000000001</v>
      </c>
      <c r="M307" s="89"/>
    </row>
    <row r="308" spans="1:13" ht="13.5" customHeight="1">
      <c r="A308" s="86"/>
      <c r="B308" s="90" t="s">
        <v>60</v>
      </c>
      <c r="C308" s="161" t="s">
        <v>803</v>
      </c>
      <c r="D308" s="162"/>
      <c r="E308" s="162"/>
      <c r="F308" s="162"/>
      <c r="G308" s="162"/>
      <c r="H308" s="162"/>
      <c r="I308" s="162"/>
      <c r="J308" s="162"/>
      <c r="K308" s="162"/>
      <c r="L308" s="162"/>
      <c r="M308" s="163"/>
    </row>
    <row r="309" spans="1:64" ht="15" customHeight="1">
      <c r="A309" s="65" t="s">
        <v>565</v>
      </c>
      <c r="B309" s="66" t="s">
        <v>824</v>
      </c>
      <c r="C309" s="150" t="s">
        <v>825</v>
      </c>
      <c r="D309" s="150"/>
      <c r="E309" s="150"/>
      <c r="F309" s="150"/>
      <c r="G309" s="150"/>
      <c r="H309" s="150"/>
      <c r="I309" s="150"/>
      <c r="J309" s="66" t="s">
        <v>191</v>
      </c>
      <c r="K309" s="83">
        <v>88.88</v>
      </c>
      <c r="L309" s="108"/>
      <c r="M309" s="84">
        <f>K309*L309</f>
        <v>0</v>
      </c>
      <c r="Z309" s="83">
        <f>IF(AQ309="5",BJ309,0)</f>
        <v>0</v>
      </c>
      <c r="AB309" s="83">
        <f>IF(AQ309="1",BH309,0)</f>
        <v>0</v>
      </c>
      <c r="AC309" s="83">
        <f>IF(AQ309="1",BI309,0)</f>
        <v>0</v>
      </c>
      <c r="AD309" s="83">
        <f>IF(AQ309="7",BH309,0)</f>
        <v>0</v>
      </c>
      <c r="AE309" s="83">
        <f>IF(AQ309="7",BI309,0)</f>
        <v>0</v>
      </c>
      <c r="AF309" s="83">
        <f>IF(AQ309="2",BH309,0)</f>
        <v>0</v>
      </c>
      <c r="AG309" s="83">
        <f>IF(AQ309="2",BI309,0)</f>
        <v>0</v>
      </c>
      <c r="AH309" s="83">
        <f>IF(AQ309="0",BJ309,0)</f>
        <v>0</v>
      </c>
      <c r="AI309" s="72" t="s">
        <v>49</v>
      </c>
      <c r="AJ309" s="83">
        <f>IF(AN309=0,M309,0)</f>
        <v>0</v>
      </c>
      <c r="AK309" s="83">
        <f>IF(AN309=15,M309,0)</f>
        <v>0</v>
      </c>
      <c r="AL309" s="83">
        <f>IF(AN309=21,M309,0)</f>
        <v>0</v>
      </c>
      <c r="AN309" s="83">
        <v>21</v>
      </c>
      <c r="AO309" s="83">
        <f>L309*1</f>
        <v>0</v>
      </c>
      <c r="AP309" s="83">
        <f>L309*(1-1)</f>
        <v>0</v>
      </c>
      <c r="AQ309" s="85" t="s">
        <v>52</v>
      </c>
      <c r="AV309" s="83">
        <f>AW309+AX309</f>
        <v>0</v>
      </c>
      <c r="AW309" s="83">
        <f>K309*AO309</f>
        <v>0</v>
      </c>
      <c r="AX309" s="83">
        <f>K309*AP309</f>
        <v>0</v>
      </c>
      <c r="AY309" s="85" t="s">
        <v>780</v>
      </c>
      <c r="AZ309" s="85" t="s">
        <v>781</v>
      </c>
      <c r="BA309" s="72" t="s">
        <v>58</v>
      </c>
      <c r="BC309" s="83">
        <f>AW309+AX309</f>
        <v>0</v>
      </c>
      <c r="BD309" s="83">
        <f>L309/(100-BE309)*100</f>
        <v>0</v>
      </c>
      <c r="BE309" s="83">
        <v>0</v>
      </c>
      <c r="BF309" s="83">
        <f>309</f>
        <v>309</v>
      </c>
      <c r="BH309" s="83">
        <f>K309*AO309</f>
        <v>0</v>
      </c>
      <c r="BI309" s="83">
        <f>K309*AP309</f>
        <v>0</v>
      </c>
      <c r="BJ309" s="83">
        <f>K309*L309</f>
        <v>0</v>
      </c>
      <c r="BK309" s="83"/>
      <c r="BL309" s="83">
        <v>91</v>
      </c>
    </row>
    <row r="310" spans="1:13" ht="15" customHeight="1">
      <c r="A310" s="86"/>
      <c r="C310" s="87" t="s">
        <v>543</v>
      </c>
      <c r="I310" s="87" t="s">
        <v>49</v>
      </c>
      <c r="K310" s="88">
        <v>88.00000000000001</v>
      </c>
      <c r="M310" s="89"/>
    </row>
    <row r="311" spans="1:13" ht="15" customHeight="1">
      <c r="A311" s="86"/>
      <c r="C311" s="87" t="s">
        <v>1172</v>
      </c>
      <c r="I311" s="87" t="s">
        <v>49</v>
      </c>
      <c r="K311" s="88">
        <v>0.8800000000000001</v>
      </c>
      <c r="M311" s="89"/>
    </row>
    <row r="312" spans="1:64" ht="15" customHeight="1">
      <c r="A312" s="65" t="s">
        <v>145</v>
      </c>
      <c r="B312" s="66" t="s">
        <v>851</v>
      </c>
      <c r="C312" s="150" t="s">
        <v>852</v>
      </c>
      <c r="D312" s="150"/>
      <c r="E312" s="150"/>
      <c r="F312" s="150"/>
      <c r="G312" s="150"/>
      <c r="H312" s="150"/>
      <c r="I312" s="150"/>
      <c r="J312" s="66" t="s">
        <v>55</v>
      </c>
      <c r="K312" s="83">
        <v>2</v>
      </c>
      <c r="L312" s="108"/>
      <c r="M312" s="84">
        <f>K312*L312</f>
        <v>0</v>
      </c>
      <c r="Z312" s="83">
        <f>IF(AQ312="5",BJ312,0)</f>
        <v>0</v>
      </c>
      <c r="AB312" s="83">
        <f>IF(AQ312="1",BH312,0)</f>
        <v>0</v>
      </c>
      <c r="AC312" s="83">
        <f>IF(AQ312="1",BI312,0)</f>
        <v>0</v>
      </c>
      <c r="AD312" s="83">
        <f>IF(AQ312="7",BH312,0)</f>
        <v>0</v>
      </c>
      <c r="AE312" s="83">
        <f>IF(AQ312="7",BI312,0)</f>
        <v>0</v>
      </c>
      <c r="AF312" s="83">
        <f>IF(AQ312="2",BH312,0)</f>
        <v>0</v>
      </c>
      <c r="AG312" s="83">
        <f>IF(AQ312="2",BI312,0)</f>
        <v>0</v>
      </c>
      <c r="AH312" s="83">
        <f>IF(AQ312="0",BJ312,0)</f>
        <v>0</v>
      </c>
      <c r="AI312" s="72" t="s">
        <v>49</v>
      </c>
      <c r="AJ312" s="83">
        <f>IF(AN312=0,M312,0)</f>
        <v>0</v>
      </c>
      <c r="AK312" s="83">
        <f>IF(AN312=15,M312,0)</f>
        <v>0</v>
      </c>
      <c r="AL312" s="83">
        <f>IF(AN312=21,M312,0)</f>
        <v>0</v>
      </c>
      <c r="AN312" s="83">
        <v>21</v>
      </c>
      <c r="AO312" s="83">
        <f>L312*0.84092</f>
        <v>0</v>
      </c>
      <c r="AP312" s="83">
        <f>L312*(1-0.84092)</f>
        <v>0</v>
      </c>
      <c r="AQ312" s="85" t="s">
        <v>52</v>
      </c>
      <c r="AV312" s="83">
        <f>AW312+AX312</f>
        <v>0</v>
      </c>
      <c r="AW312" s="83">
        <f>K312*AO312</f>
        <v>0</v>
      </c>
      <c r="AX312" s="83">
        <f>K312*AP312</f>
        <v>0</v>
      </c>
      <c r="AY312" s="85" t="s">
        <v>780</v>
      </c>
      <c r="AZ312" s="85" t="s">
        <v>781</v>
      </c>
      <c r="BA312" s="72" t="s">
        <v>58</v>
      </c>
      <c r="BC312" s="83">
        <f>AW312+AX312</f>
        <v>0</v>
      </c>
      <c r="BD312" s="83">
        <f>L312/(100-BE312)*100</f>
        <v>0</v>
      </c>
      <c r="BE312" s="83">
        <v>0</v>
      </c>
      <c r="BF312" s="83">
        <f>312</f>
        <v>312</v>
      </c>
      <c r="BH312" s="83">
        <f>K312*AO312</f>
        <v>0</v>
      </c>
      <c r="BI312" s="83">
        <f>K312*AP312</f>
        <v>0</v>
      </c>
      <c r="BJ312" s="83">
        <f>K312*L312</f>
        <v>0</v>
      </c>
      <c r="BK312" s="83"/>
      <c r="BL312" s="83">
        <v>91</v>
      </c>
    </row>
    <row r="313" spans="1:13" ht="15" customHeight="1">
      <c r="A313" s="86"/>
      <c r="C313" s="87" t="s">
        <v>62</v>
      </c>
      <c r="I313" s="87" t="s">
        <v>49</v>
      </c>
      <c r="K313" s="88">
        <v>2</v>
      </c>
      <c r="M313" s="89"/>
    </row>
    <row r="314" spans="1:64" ht="15" customHeight="1">
      <c r="A314" s="65" t="s">
        <v>574</v>
      </c>
      <c r="B314" s="66" t="s">
        <v>855</v>
      </c>
      <c r="C314" s="150" t="s">
        <v>856</v>
      </c>
      <c r="D314" s="150"/>
      <c r="E314" s="150"/>
      <c r="F314" s="150"/>
      <c r="G314" s="150"/>
      <c r="H314" s="150"/>
      <c r="I314" s="150"/>
      <c r="J314" s="66" t="s">
        <v>191</v>
      </c>
      <c r="K314" s="83">
        <v>13</v>
      </c>
      <c r="L314" s="108"/>
      <c r="M314" s="84">
        <f>K314*L314</f>
        <v>0</v>
      </c>
      <c r="Z314" s="83">
        <f>IF(AQ314="5",BJ314,0)</f>
        <v>0</v>
      </c>
      <c r="AB314" s="83">
        <f>IF(AQ314="1",BH314,0)</f>
        <v>0</v>
      </c>
      <c r="AC314" s="83">
        <f>IF(AQ314="1",BI314,0)</f>
        <v>0</v>
      </c>
      <c r="AD314" s="83">
        <f>IF(AQ314="7",BH314,0)</f>
        <v>0</v>
      </c>
      <c r="AE314" s="83">
        <f>IF(AQ314="7",BI314,0)</f>
        <v>0</v>
      </c>
      <c r="AF314" s="83">
        <f>IF(AQ314="2",BH314,0)</f>
        <v>0</v>
      </c>
      <c r="AG314" s="83">
        <f>IF(AQ314="2",BI314,0)</f>
        <v>0</v>
      </c>
      <c r="AH314" s="83">
        <f>IF(AQ314="0",BJ314,0)</f>
        <v>0</v>
      </c>
      <c r="AI314" s="72" t="s">
        <v>49</v>
      </c>
      <c r="AJ314" s="83">
        <f>IF(AN314=0,M314,0)</f>
        <v>0</v>
      </c>
      <c r="AK314" s="83">
        <f>IF(AN314=15,M314,0)</f>
        <v>0</v>
      </c>
      <c r="AL314" s="83">
        <f>IF(AN314=21,M314,0)</f>
        <v>0</v>
      </c>
      <c r="AN314" s="83">
        <v>21</v>
      </c>
      <c r="AO314" s="83">
        <f>L314*0.3522</f>
        <v>0</v>
      </c>
      <c r="AP314" s="83">
        <f>L314*(1-0.3522)</f>
        <v>0</v>
      </c>
      <c r="AQ314" s="85" t="s">
        <v>52</v>
      </c>
      <c r="AV314" s="83">
        <f>AW314+AX314</f>
        <v>0</v>
      </c>
      <c r="AW314" s="83">
        <f>K314*AO314</f>
        <v>0</v>
      </c>
      <c r="AX314" s="83">
        <f>K314*AP314</f>
        <v>0</v>
      </c>
      <c r="AY314" s="85" t="s">
        <v>780</v>
      </c>
      <c r="AZ314" s="85" t="s">
        <v>781</v>
      </c>
      <c r="BA314" s="72" t="s">
        <v>58</v>
      </c>
      <c r="BC314" s="83">
        <f>AW314+AX314</f>
        <v>0</v>
      </c>
      <c r="BD314" s="83">
        <f>L314/(100-BE314)*100</f>
        <v>0</v>
      </c>
      <c r="BE314" s="83">
        <v>0</v>
      </c>
      <c r="BF314" s="83">
        <f>314</f>
        <v>314</v>
      </c>
      <c r="BH314" s="83">
        <f>K314*AO314</f>
        <v>0</v>
      </c>
      <c r="BI314" s="83">
        <f>K314*AP314</f>
        <v>0</v>
      </c>
      <c r="BJ314" s="83">
        <f>K314*L314</f>
        <v>0</v>
      </c>
      <c r="BK314" s="83"/>
      <c r="BL314" s="83">
        <v>91</v>
      </c>
    </row>
    <row r="315" spans="1:13" ht="15" customHeight="1">
      <c r="A315" s="86"/>
      <c r="C315" s="87" t="s">
        <v>132</v>
      </c>
      <c r="I315" s="87" t="s">
        <v>49</v>
      </c>
      <c r="K315" s="88">
        <v>13.000000000000002</v>
      </c>
      <c r="M315" s="89"/>
    </row>
    <row r="316" spans="1:64" ht="15" customHeight="1">
      <c r="A316" s="65" t="s">
        <v>578</v>
      </c>
      <c r="B316" s="66" t="s">
        <v>882</v>
      </c>
      <c r="C316" s="150" t="s">
        <v>883</v>
      </c>
      <c r="D316" s="150"/>
      <c r="E316" s="150"/>
      <c r="F316" s="150"/>
      <c r="G316" s="150"/>
      <c r="H316" s="150"/>
      <c r="I316" s="150"/>
      <c r="J316" s="66" t="s">
        <v>55</v>
      </c>
      <c r="K316" s="83">
        <v>2</v>
      </c>
      <c r="L316" s="108"/>
      <c r="M316" s="84">
        <f>K316*L316</f>
        <v>0</v>
      </c>
      <c r="Z316" s="83">
        <f>IF(AQ316="5",BJ316,0)</f>
        <v>0</v>
      </c>
      <c r="AB316" s="83">
        <f>IF(AQ316="1",BH316,0)</f>
        <v>0</v>
      </c>
      <c r="AC316" s="83">
        <f>IF(AQ316="1",BI316,0)</f>
        <v>0</v>
      </c>
      <c r="AD316" s="83">
        <f>IF(AQ316="7",BH316,0)</f>
        <v>0</v>
      </c>
      <c r="AE316" s="83">
        <f>IF(AQ316="7",BI316,0)</f>
        <v>0</v>
      </c>
      <c r="AF316" s="83">
        <f>IF(AQ316="2",BH316,0)</f>
        <v>0</v>
      </c>
      <c r="AG316" s="83">
        <f>IF(AQ316="2",BI316,0)</f>
        <v>0</v>
      </c>
      <c r="AH316" s="83">
        <f>IF(AQ316="0",BJ316,0)</f>
        <v>0</v>
      </c>
      <c r="AI316" s="72" t="s">
        <v>49</v>
      </c>
      <c r="AJ316" s="83">
        <f>IF(AN316=0,M316,0)</f>
        <v>0</v>
      </c>
      <c r="AK316" s="83">
        <f>IF(AN316=15,M316,0)</f>
        <v>0</v>
      </c>
      <c r="AL316" s="83">
        <f>IF(AN316=21,M316,0)</f>
        <v>0</v>
      </c>
      <c r="AN316" s="83">
        <v>21</v>
      </c>
      <c r="AO316" s="83">
        <f>L316*0.646677777777778</f>
        <v>0</v>
      </c>
      <c r="AP316" s="83">
        <f>L316*(1-0.646677777777778)</f>
        <v>0</v>
      </c>
      <c r="AQ316" s="85" t="s">
        <v>52</v>
      </c>
      <c r="AV316" s="83">
        <f>AW316+AX316</f>
        <v>0</v>
      </c>
      <c r="AW316" s="83">
        <f>K316*AO316</f>
        <v>0</v>
      </c>
      <c r="AX316" s="83">
        <f>K316*AP316</f>
        <v>0</v>
      </c>
      <c r="AY316" s="85" t="s">
        <v>780</v>
      </c>
      <c r="AZ316" s="85" t="s">
        <v>781</v>
      </c>
      <c r="BA316" s="72" t="s">
        <v>58</v>
      </c>
      <c r="BC316" s="83">
        <f>AW316+AX316</f>
        <v>0</v>
      </c>
      <c r="BD316" s="83">
        <f>L316/(100-BE316)*100</f>
        <v>0</v>
      </c>
      <c r="BE316" s="83">
        <v>0</v>
      </c>
      <c r="BF316" s="83">
        <f>316</f>
        <v>316</v>
      </c>
      <c r="BH316" s="83">
        <f>K316*AO316</f>
        <v>0</v>
      </c>
      <c r="BI316" s="83">
        <f>K316*AP316</f>
        <v>0</v>
      </c>
      <c r="BJ316" s="83">
        <f>K316*L316</f>
        <v>0</v>
      </c>
      <c r="BK316" s="83"/>
      <c r="BL316" s="83">
        <v>91</v>
      </c>
    </row>
    <row r="317" spans="1:13" ht="15" customHeight="1">
      <c r="A317" s="86"/>
      <c r="C317" s="87" t="s">
        <v>62</v>
      </c>
      <c r="I317" s="87" t="s">
        <v>49</v>
      </c>
      <c r="K317" s="88">
        <v>2</v>
      </c>
      <c r="M317" s="89"/>
    </row>
    <row r="318" spans="1:64" ht="15" customHeight="1">
      <c r="A318" s="65" t="s">
        <v>95</v>
      </c>
      <c r="B318" s="66" t="s">
        <v>928</v>
      </c>
      <c r="C318" s="150" t="s">
        <v>929</v>
      </c>
      <c r="D318" s="150"/>
      <c r="E318" s="150"/>
      <c r="F318" s="150"/>
      <c r="G318" s="150"/>
      <c r="H318" s="150"/>
      <c r="I318" s="150"/>
      <c r="J318" s="66" t="s">
        <v>55</v>
      </c>
      <c r="K318" s="83">
        <v>2</v>
      </c>
      <c r="L318" s="108"/>
      <c r="M318" s="84">
        <f>K318*L318</f>
        <v>0</v>
      </c>
      <c r="Z318" s="83">
        <f>IF(AQ318="5",BJ318,0)</f>
        <v>0</v>
      </c>
      <c r="AB318" s="83">
        <f>IF(AQ318="1",BH318,0)</f>
        <v>0</v>
      </c>
      <c r="AC318" s="83">
        <f>IF(AQ318="1",BI318,0)</f>
        <v>0</v>
      </c>
      <c r="AD318" s="83">
        <f>IF(AQ318="7",BH318,0)</f>
        <v>0</v>
      </c>
      <c r="AE318" s="83">
        <f>IF(AQ318="7",BI318,0)</f>
        <v>0</v>
      </c>
      <c r="AF318" s="83">
        <f>IF(AQ318="2",BH318,0)</f>
        <v>0</v>
      </c>
      <c r="AG318" s="83">
        <f>IF(AQ318="2",BI318,0)</f>
        <v>0</v>
      </c>
      <c r="AH318" s="83">
        <f>IF(AQ318="0",BJ318,0)</f>
        <v>0</v>
      </c>
      <c r="AI318" s="72" t="s">
        <v>49</v>
      </c>
      <c r="AJ318" s="83">
        <f>IF(AN318=0,M318,0)</f>
        <v>0</v>
      </c>
      <c r="AK318" s="83">
        <f>IF(AN318=15,M318,0)</f>
        <v>0</v>
      </c>
      <c r="AL318" s="83">
        <f>IF(AN318=21,M318,0)</f>
        <v>0</v>
      </c>
      <c r="AN318" s="83">
        <v>21</v>
      </c>
      <c r="AO318" s="83">
        <f>L318*1</f>
        <v>0</v>
      </c>
      <c r="AP318" s="83">
        <f>L318*(1-1)</f>
        <v>0</v>
      </c>
      <c r="AQ318" s="85" t="s">
        <v>52</v>
      </c>
      <c r="AV318" s="83">
        <f>AW318+AX318</f>
        <v>0</v>
      </c>
      <c r="AW318" s="83">
        <f>K318*AO318</f>
        <v>0</v>
      </c>
      <c r="AX318" s="83">
        <f>K318*AP318</f>
        <v>0</v>
      </c>
      <c r="AY318" s="85" t="s">
        <v>780</v>
      </c>
      <c r="AZ318" s="85" t="s">
        <v>781</v>
      </c>
      <c r="BA318" s="72" t="s">
        <v>58</v>
      </c>
      <c r="BC318" s="83">
        <f>AW318+AX318</f>
        <v>0</v>
      </c>
      <c r="BD318" s="83">
        <f>L318/(100-BE318)*100</f>
        <v>0</v>
      </c>
      <c r="BE318" s="83">
        <v>0</v>
      </c>
      <c r="BF318" s="83">
        <f>318</f>
        <v>318</v>
      </c>
      <c r="BH318" s="83">
        <f>K318*AO318</f>
        <v>0</v>
      </c>
      <c r="BI318" s="83">
        <f>K318*AP318</f>
        <v>0</v>
      </c>
      <c r="BJ318" s="83">
        <f>K318*L318</f>
        <v>0</v>
      </c>
      <c r="BK318" s="83"/>
      <c r="BL318" s="83">
        <v>91</v>
      </c>
    </row>
    <row r="319" spans="1:13" ht="15" customHeight="1">
      <c r="A319" s="86"/>
      <c r="C319" s="87" t="s">
        <v>62</v>
      </c>
      <c r="I319" s="87" t="s">
        <v>49</v>
      </c>
      <c r="K319" s="88">
        <v>2</v>
      </c>
      <c r="M319" s="89"/>
    </row>
    <row r="320" spans="1:13" ht="27" customHeight="1">
      <c r="A320" s="86"/>
      <c r="B320" s="90" t="s">
        <v>60</v>
      </c>
      <c r="C320" s="161" t="s">
        <v>930</v>
      </c>
      <c r="D320" s="162"/>
      <c r="E320" s="162"/>
      <c r="F320" s="162"/>
      <c r="G320" s="162"/>
      <c r="H320" s="162"/>
      <c r="I320" s="162"/>
      <c r="J320" s="162"/>
      <c r="K320" s="162"/>
      <c r="L320" s="162"/>
      <c r="M320" s="163"/>
    </row>
    <row r="321" spans="1:64" ht="15" customHeight="1">
      <c r="A321" s="65" t="s">
        <v>128</v>
      </c>
      <c r="B321" s="66" t="s">
        <v>887</v>
      </c>
      <c r="C321" s="150" t="s">
        <v>888</v>
      </c>
      <c r="D321" s="150"/>
      <c r="E321" s="150"/>
      <c r="F321" s="150"/>
      <c r="G321" s="150"/>
      <c r="H321" s="150"/>
      <c r="I321" s="150"/>
      <c r="J321" s="66" t="s">
        <v>55</v>
      </c>
      <c r="K321" s="83">
        <v>1</v>
      </c>
      <c r="L321" s="108"/>
      <c r="M321" s="84">
        <f>K321*L321</f>
        <v>0</v>
      </c>
      <c r="Z321" s="83">
        <f>IF(AQ321="5",BJ321,0)</f>
        <v>0</v>
      </c>
      <c r="AB321" s="83">
        <f>IF(AQ321="1",BH321,0)</f>
        <v>0</v>
      </c>
      <c r="AC321" s="83">
        <f>IF(AQ321="1",BI321,0)</f>
        <v>0</v>
      </c>
      <c r="AD321" s="83">
        <f>IF(AQ321="7",BH321,0)</f>
        <v>0</v>
      </c>
      <c r="AE321" s="83">
        <f>IF(AQ321="7",BI321,0)</f>
        <v>0</v>
      </c>
      <c r="AF321" s="83">
        <f>IF(AQ321="2",BH321,0)</f>
        <v>0</v>
      </c>
      <c r="AG321" s="83">
        <f>IF(AQ321="2",BI321,0)</f>
        <v>0</v>
      </c>
      <c r="AH321" s="83">
        <f>IF(AQ321="0",BJ321,0)</f>
        <v>0</v>
      </c>
      <c r="AI321" s="72" t="s">
        <v>49</v>
      </c>
      <c r="AJ321" s="83">
        <f>IF(AN321=0,M321,0)</f>
        <v>0</v>
      </c>
      <c r="AK321" s="83">
        <f>IF(AN321=15,M321,0)</f>
        <v>0</v>
      </c>
      <c r="AL321" s="83">
        <f>IF(AN321=21,M321,0)</f>
        <v>0</v>
      </c>
      <c r="AN321" s="83">
        <v>21</v>
      </c>
      <c r="AO321" s="83">
        <f>L321*1</f>
        <v>0</v>
      </c>
      <c r="AP321" s="83">
        <f>L321*(1-1)</f>
        <v>0</v>
      </c>
      <c r="AQ321" s="85" t="s">
        <v>52</v>
      </c>
      <c r="AV321" s="83">
        <f>AW321+AX321</f>
        <v>0</v>
      </c>
      <c r="AW321" s="83">
        <f>K321*AO321</f>
        <v>0</v>
      </c>
      <c r="AX321" s="83">
        <f>K321*AP321</f>
        <v>0</v>
      </c>
      <c r="AY321" s="85" t="s">
        <v>780</v>
      </c>
      <c r="AZ321" s="85" t="s">
        <v>781</v>
      </c>
      <c r="BA321" s="72" t="s">
        <v>58</v>
      </c>
      <c r="BC321" s="83">
        <f>AW321+AX321</f>
        <v>0</v>
      </c>
      <c r="BD321" s="83">
        <f>L321/(100-BE321)*100</f>
        <v>0</v>
      </c>
      <c r="BE321" s="83">
        <v>0</v>
      </c>
      <c r="BF321" s="83">
        <f>321</f>
        <v>321</v>
      </c>
      <c r="BH321" s="83">
        <f>K321*AO321</f>
        <v>0</v>
      </c>
      <c r="BI321" s="83">
        <f>K321*AP321</f>
        <v>0</v>
      </c>
      <c r="BJ321" s="83">
        <f>K321*L321</f>
        <v>0</v>
      </c>
      <c r="BK321" s="83"/>
      <c r="BL321" s="83">
        <v>91</v>
      </c>
    </row>
    <row r="322" spans="1:13" ht="15" customHeight="1">
      <c r="A322" s="86"/>
      <c r="C322" s="87" t="s">
        <v>52</v>
      </c>
      <c r="I322" s="87" t="s">
        <v>49</v>
      </c>
      <c r="K322" s="88">
        <v>1</v>
      </c>
      <c r="M322" s="89"/>
    </row>
    <row r="323" spans="1:13" ht="48.75" customHeight="1">
      <c r="A323" s="86"/>
      <c r="B323" s="90" t="s">
        <v>60</v>
      </c>
      <c r="C323" s="161" t="s">
        <v>889</v>
      </c>
      <c r="D323" s="162"/>
      <c r="E323" s="162"/>
      <c r="F323" s="162"/>
      <c r="G323" s="162"/>
      <c r="H323" s="162"/>
      <c r="I323" s="162"/>
      <c r="J323" s="162"/>
      <c r="K323" s="162"/>
      <c r="L323" s="162"/>
      <c r="M323" s="163"/>
    </row>
    <row r="324" spans="1:64" ht="15" customHeight="1">
      <c r="A324" s="65" t="s">
        <v>604</v>
      </c>
      <c r="B324" s="66" t="s">
        <v>891</v>
      </c>
      <c r="C324" s="150" t="s">
        <v>892</v>
      </c>
      <c r="D324" s="150"/>
      <c r="E324" s="150"/>
      <c r="F324" s="150"/>
      <c r="G324" s="150"/>
      <c r="H324" s="150"/>
      <c r="I324" s="150"/>
      <c r="J324" s="66" t="s">
        <v>55</v>
      </c>
      <c r="K324" s="83">
        <v>1</v>
      </c>
      <c r="L324" s="108"/>
      <c r="M324" s="84">
        <f>K324*L324</f>
        <v>0</v>
      </c>
      <c r="Z324" s="83">
        <f>IF(AQ324="5",BJ324,0)</f>
        <v>0</v>
      </c>
      <c r="AB324" s="83">
        <f>IF(AQ324="1",BH324,0)</f>
        <v>0</v>
      </c>
      <c r="AC324" s="83">
        <f>IF(AQ324="1",BI324,0)</f>
        <v>0</v>
      </c>
      <c r="AD324" s="83">
        <f>IF(AQ324="7",BH324,0)</f>
        <v>0</v>
      </c>
      <c r="AE324" s="83">
        <f>IF(AQ324="7",BI324,0)</f>
        <v>0</v>
      </c>
      <c r="AF324" s="83">
        <f>IF(AQ324="2",BH324,0)</f>
        <v>0</v>
      </c>
      <c r="AG324" s="83">
        <f>IF(AQ324="2",BI324,0)</f>
        <v>0</v>
      </c>
      <c r="AH324" s="83">
        <f>IF(AQ324="0",BJ324,0)</f>
        <v>0</v>
      </c>
      <c r="AI324" s="72" t="s">
        <v>49</v>
      </c>
      <c r="AJ324" s="83">
        <f>IF(AN324=0,M324,0)</f>
        <v>0</v>
      </c>
      <c r="AK324" s="83">
        <f>IF(AN324=15,M324,0)</f>
        <v>0</v>
      </c>
      <c r="AL324" s="83">
        <f>IF(AN324=21,M324,0)</f>
        <v>0</v>
      </c>
      <c r="AN324" s="83">
        <v>21</v>
      </c>
      <c r="AO324" s="83">
        <f>L324*1</f>
        <v>0</v>
      </c>
      <c r="AP324" s="83">
        <f>L324*(1-1)</f>
        <v>0</v>
      </c>
      <c r="AQ324" s="85" t="s">
        <v>52</v>
      </c>
      <c r="AV324" s="83">
        <f>AW324+AX324</f>
        <v>0</v>
      </c>
      <c r="AW324" s="83">
        <f>K324*AO324</f>
        <v>0</v>
      </c>
      <c r="AX324" s="83">
        <f>K324*AP324</f>
        <v>0</v>
      </c>
      <c r="AY324" s="85" t="s">
        <v>780</v>
      </c>
      <c r="AZ324" s="85" t="s">
        <v>781</v>
      </c>
      <c r="BA324" s="72" t="s">
        <v>58</v>
      </c>
      <c r="BC324" s="83">
        <f>AW324+AX324</f>
        <v>0</v>
      </c>
      <c r="BD324" s="83">
        <f>L324/(100-BE324)*100</f>
        <v>0</v>
      </c>
      <c r="BE324" s="83">
        <v>0</v>
      </c>
      <c r="BF324" s="83">
        <f>324</f>
        <v>324</v>
      </c>
      <c r="BH324" s="83">
        <f>K324*AO324</f>
        <v>0</v>
      </c>
      <c r="BI324" s="83">
        <f>K324*AP324</f>
        <v>0</v>
      </c>
      <c r="BJ324" s="83">
        <f>K324*L324</f>
        <v>0</v>
      </c>
      <c r="BK324" s="83"/>
      <c r="BL324" s="83">
        <v>91</v>
      </c>
    </row>
    <row r="325" spans="1:13" ht="15" customHeight="1">
      <c r="A325" s="86"/>
      <c r="C325" s="87" t="s">
        <v>52</v>
      </c>
      <c r="I325" s="87" t="s">
        <v>49</v>
      </c>
      <c r="K325" s="88">
        <v>1</v>
      </c>
      <c r="M325" s="89"/>
    </row>
    <row r="326" spans="1:13" ht="47.25" customHeight="1">
      <c r="A326" s="86"/>
      <c r="B326" s="90" t="s">
        <v>60</v>
      </c>
      <c r="C326" s="161" t="s">
        <v>893</v>
      </c>
      <c r="D326" s="162"/>
      <c r="E326" s="162"/>
      <c r="F326" s="162"/>
      <c r="G326" s="162"/>
      <c r="H326" s="162"/>
      <c r="I326" s="162"/>
      <c r="J326" s="162"/>
      <c r="K326" s="162"/>
      <c r="L326" s="162"/>
      <c r="M326" s="163"/>
    </row>
    <row r="327" spans="1:64" ht="15" customHeight="1">
      <c r="A327" s="65" t="s">
        <v>607</v>
      </c>
      <c r="B327" s="66" t="s">
        <v>910</v>
      </c>
      <c r="C327" s="150" t="s">
        <v>1173</v>
      </c>
      <c r="D327" s="150"/>
      <c r="E327" s="150"/>
      <c r="F327" s="150"/>
      <c r="G327" s="150"/>
      <c r="H327" s="150"/>
      <c r="I327" s="150"/>
      <c r="J327" s="66" t="s">
        <v>55</v>
      </c>
      <c r="K327" s="83">
        <v>1</v>
      </c>
      <c r="L327" s="108"/>
      <c r="M327" s="84">
        <f>K327*L327</f>
        <v>0</v>
      </c>
      <c r="Z327" s="83">
        <f>IF(AQ327="5",BJ327,0)</f>
        <v>0</v>
      </c>
      <c r="AB327" s="83">
        <f>IF(AQ327="1",BH327,0)</f>
        <v>0</v>
      </c>
      <c r="AC327" s="83">
        <f>IF(AQ327="1",BI327,0)</f>
        <v>0</v>
      </c>
      <c r="AD327" s="83">
        <f>IF(AQ327="7",BH327,0)</f>
        <v>0</v>
      </c>
      <c r="AE327" s="83">
        <f>IF(AQ327="7",BI327,0)</f>
        <v>0</v>
      </c>
      <c r="AF327" s="83">
        <f>IF(AQ327="2",BH327,0)</f>
        <v>0</v>
      </c>
      <c r="AG327" s="83">
        <f>IF(AQ327="2",BI327,0)</f>
        <v>0</v>
      </c>
      <c r="AH327" s="83">
        <f>IF(AQ327="0",BJ327,0)</f>
        <v>0</v>
      </c>
      <c r="AI327" s="72" t="s">
        <v>49</v>
      </c>
      <c r="AJ327" s="83">
        <f>IF(AN327=0,M327,0)</f>
        <v>0</v>
      </c>
      <c r="AK327" s="83">
        <f>IF(AN327=15,M327,0)</f>
        <v>0</v>
      </c>
      <c r="AL327" s="83">
        <f>IF(AN327=21,M327,0)</f>
        <v>0</v>
      </c>
      <c r="AN327" s="83">
        <v>21</v>
      </c>
      <c r="AO327" s="83">
        <f>L327*1</f>
        <v>0</v>
      </c>
      <c r="AP327" s="83">
        <f>L327*(1-1)</f>
        <v>0</v>
      </c>
      <c r="AQ327" s="85" t="s">
        <v>52</v>
      </c>
      <c r="AV327" s="83">
        <f>AW327+AX327</f>
        <v>0</v>
      </c>
      <c r="AW327" s="83">
        <f>K327*AO327</f>
        <v>0</v>
      </c>
      <c r="AX327" s="83">
        <f>K327*AP327</f>
        <v>0</v>
      </c>
      <c r="AY327" s="85" t="s">
        <v>780</v>
      </c>
      <c r="AZ327" s="85" t="s">
        <v>781</v>
      </c>
      <c r="BA327" s="72" t="s">
        <v>58</v>
      </c>
      <c r="BC327" s="83">
        <f>AW327+AX327</f>
        <v>0</v>
      </c>
      <c r="BD327" s="83">
        <f>L327/(100-BE327)*100</f>
        <v>0</v>
      </c>
      <c r="BE327" s="83">
        <v>0</v>
      </c>
      <c r="BF327" s="83">
        <f>327</f>
        <v>327</v>
      </c>
      <c r="BH327" s="83">
        <f>K327*AO327</f>
        <v>0</v>
      </c>
      <c r="BI327" s="83">
        <f>K327*AP327</f>
        <v>0</v>
      </c>
      <c r="BJ327" s="83">
        <f>K327*L327</f>
        <v>0</v>
      </c>
      <c r="BK327" s="83"/>
      <c r="BL327" s="83">
        <v>91</v>
      </c>
    </row>
    <row r="328" spans="1:13" ht="15" customHeight="1">
      <c r="A328" s="86"/>
      <c r="C328" s="87" t="s">
        <v>52</v>
      </c>
      <c r="I328" s="87" t="s">
        <v>49</v>
      </c>
      <c r="K328" s="88">
        <v>1</v>
      </c>
      <c r="M328" s="89"/>
    </row>
    <row r="329" spans="1:13" ht="47.25" customHeight="1">
      <c r="A329" s="86"/>
      <c r="B329" s="90" t="s">
        <v>60</v>
      </c>
      <c r="C329" s="161" t="s">
        <v>912</v>
      </c>
      <c r="D329" s="162"/>
      <c r="E329" s="162"/>
      <c r="F329" s="162"/>
      <c r="G329" s="162"/>
      <c r="H329" s="162"/>
      <c r="I329" s="162"/>
      <c r="J329" s="162"/>
      <c r="K329" s="162"/>
      <c r="L329" s="162"/>
      <c r="M329" s="163"/>
    </row>
    <row r="330" spans="1:64" ht="15" customHeight="1">
      <c r="A330" s="65" t="s">
        <v>611</v>
      </c>
      <c r="B330" s="66" t="s">
        <v>936</v>
      </c>
      <c r="C330" s="150" t="s">
        <v>937</v>
      </c>
      <c r="D330" s="150"/>
      <c r="E330" s="150"/>
      <c r="F330" s="150"/>
      <c r="G330" s="150"/>
      <c r="H330" s="150"/>
      <c r="I330" s="150"/>
      <c r="J330" s="66" t="s">
        <v>55</v>
      </c>
      <c r="K330" s="83">
        <v>1</v>
      </c>
      <c r="L330" s="108"/>
      <c r="M330" s="84">
        <f>K330*L330</f>
        <v>0</v>
      </c>
      <c r="Z330" s="83">
        <f>IF(AQ330="5",BJ330,0)</f>
        <v>0</v>
      </c>
      <c r="AB330" s="83">
        <f>IF(AQ330="1",BH330,0)</f>
        <v>0</v>
      </c>
      <c r="AC330" s="83">
        <f>IF(AQ330="1",BI330,0)</f>
        <v>0</v>
      </c>
      <c r="AD330" s="83">
        <f>IF(AQ330="7",BH330,0)</f>
        <v>0</v>
      </c>
      <c r="AE330" s="83">
        <f>IF(AQ330="7",BI330,0)</f>
        <v>0</v>
      </c>
      <c r="AF330" s="83">
        <f>IF(AQ330="2",BH330,0)</f>
        <v>0</v>
      </c>
      <c r="AG330" s="83">
        <f>IF(AQ330="2",BI330,0)</f>
        <v>0</v>
      </c>
      <c r="AH330" s="83">
        <f>IF(AQ330="0",BJ330,0)</f>
        <v>0</v>
      </c>
      <c r="AI330" s="72" t="s">
        <v>49</v>
      </c>
      <c r="AJ330" s="83">
        <f>IF(AN330=0,M330,0)</f>
        <v>0</v>
      </c>
      <c r="AK330" s="83">
        <f>IF(AN330=15,M330,0)</f>
        <v>0</v>
      </c>
      <c r="AL330" s="83">
        <f>IF(AN330=21,M330,0)</f>
        <v>0</v>
      </c>
      <c r="AN330" s="83">
        <v>21</v>
      </c>
      <c r="AO330" s="83">
        <f>L330*0.707252747252747</f>
        <v>0</v>
      </c>
      <c r="AP330" s="83">
        <f>L330*(1-0.707252747252747)</f>
        <v>0</v>
      </c>
      <c r="AQ330" s="85" t="s">
        <v>52</v>
      </c>
      <c r="AV330" s="83">
        <f>AW330+AX330</f>
        <v>0</v>
      </c>
      <c r="AW330" s="83">
        <f>K330*AO330</f>
        <v>0</v>
      </c>
      <c r="AX330" s="83">
        <f>K330*AP330</f>
        <v>0</v>
      </c>
      <c r="AY330" s="85" t="s">
        <v>780</v>
      </c>
      <c r="AZ330" s="85" t="s">
        <v>781</v>
      </c>
      <c r="BA330" s="72" t="s">
        <v>58</v>
      </c>
      <c r="BC330" s="83">
        <f>AW330+AX330</f>
        <v>0</v>
      </c>
      <c r="BD330" s="83">
        <f>L330/(100-BE330)*100</f>
        <v>0</v>
      </c>
      <c r="BE330" s="83">
        <v>0</v>
      </c>
      <c r="BF330" s="83">
        <f>330</f>
        <v>330</v>
      </c>
      <c r="BH330" s="83">
        <f>K330*AO330</f>
        <v>0</v>
      </c>
      <c r="BI330" s="83">
        <f>K330*AP330</f>
        <v>0</v>
      </c>
      <c r="BJ330" s="83">
        <f>K330*L330</f>
        <v>0</v>
      </c>
      <c r="BK330" s="83"/>
      <c r="BL330" s="83">
        <v>91</v>
      </c>
    </row>
    <row r="331" spans="1:13" ht="15" customHeight="1">
      <c r="A331" s="86"/>
      <c r="C331" s="87" t="s">
        <v>52</v>
      </c>
      <c r="I331" s="87" t="s">
        <v>49</v>
      </c>
      <c r="K331" s="88">
        <v>1</v>
      </c>
      <c r="M331" s="89"/>
    </row>
    <row r="332" spans="1:64" ht="15" customHeight="1">
      <c r="A332" s="65" t="s">
        <v>615</v>
      </c>
      <c r="B332" s="66" t="s">
        <v>955</v>
      </c>
      <c r="C332" s="150" t="s">
        <v>956</v>
      </c>
      <c r="D332" s="150"/>
      <c r="E332" s="150"/>
      <c r="F332" s="150"/>
      <c r="G332" s="150"/>
      <c r="H332" s="150"/>
      <c r="I332" s="150"/>
      <c r="J332" s="66" t="s">
        <v>55</v>
      </c>
      <c r="K332" s="83">
        <v>2</v>
      </c>
      <c r="L332" s="108"/>
      <c r="M332" s="84">
        <f>K332*L332</f>
        <v>0</v>
      </c>
      <c r="Z332" s="83">
        <f>IF(AQ332="5",BJ332,0)</f>
        <v>0</v>
      </c>
      <c r="AB332" s="83">
        <f>IF(AQ332="1",BH332,0)</f>
        <v>0</v>
      </c>
      <c r="AC332" s="83">
        <f>IF(AQ332="1",BI332,0)</f>
        <v>0</v>
      </c>
      <c r="AD332" s="83">
        <f>IF(AQ332="7",BH332,0)</f>
        <v>0</v>
      </c>
      <c r="AE332" s="83">
        <f>IF(AQ332="7",BI332,0)</f>
        <v>0</v>
      </c>
      <c r="AF332" s="83">
        <f>IF(AQ332="2",BH332,0)</f>
        <v>0</v>
      </c>
      <c r="AG332" s="83">
        <f>IF(AQ332="2",BI332,0)</f>
        <v>0</v>
      </c>
      <c r="AH332" s="83">
        <f>IF(AQ332="0",BJ332,0)</f>
        <v>0</v>
      </c>
      <c r="AI332" s="72" t="s">
        <v>49</v>
      </c>
      <c r="AJ332" s="83">
        <f>IF(AN332=0,M332,0)</f>
        <v>0</v>
      </c>
      <c r="AK332" s="83">
        <f>IF(AN332=15,M332,0)</f>
        <v>0</v>
      </c>
      <c r="AL332" s="83">
        <f>IF(AN332=21,M332,0)</f>
        <v>0</v>
      </c>
      <c r="AN332" s="83">
        <v>21</v>
      </c>
      <c r="AO332" s="83">
        <f>L332*0</f>
        <v>0</v>
      </c>
      <c r="AP332" s="83">
        <f>L332*(1-0)</f>
        <v>0</v>
      </c>
      <c r="AQ332" s="85" t="s">
        <v>52</v>
      </c>
      <c r="AV332" s="83">
        <f>AW332+AX332</f>
        <v>0</v>
      </c>
      <c r="AW332" s="83">
        <f>K332*AO332</f>
        <v>0</v>
      </c>
      <c r="AX332" s="83">
        <f>K332*AP332</f>
        <v>0</v>
      </c>
      <c r="AY332" s="85" t="s">
        <v>780</v>
      </c>
      <c r="AZ332" s="85" t="s">
        <v>781</v>
      </c>
      <c r="BA332" s="72" t="s">
        <v>58</v>
      </c>
      <c r="BC332" s="83">
        <f>AW332+AX332</f>
        <v>0</v>
      </c>
      <c r="BD332" s="83">
        <f>L332/(100-BE332)*100</f>
        <v>0</v>
      </c>
      <c r="BE332" s="83">
        <v>0</v>
      </c>
      <c r="BF332" s="83">
        <f>332</f>
        <v>332</v>
      </c>
      <c r="BH332" s="83">
        <f>K332*AO332</f>
        <v>0</v>
      </c>
      <c r="BI332" s="83">
        <f>K332*AP332</f>
        <v>0</v>
      </c>
      <c r="BJ332" s="83">
        <f>K332*L332</f>
        <v>0</v>
      </c>
      <c r="BK332" s="83"/>
      <c r="BL332" s="83">
        <v>91</v>
      </c>
    </row>
    <row r="333" spans="1:13" ht="15" customHeight="1">
      <c r="A333" s="86"/>
      <c r="C333" s="87" t="s">
        <v>62</v>
      </c>
      <c r="I333" s="87" t="s">
        <v>49</v>
      </c>
      <c r="K333" s="88">
        <v>2</v>
      </c>
      <c r="M333" s="89"/>
    </row>
    <row r="334" spans="1:47" ht="15" customHeight="1">
      <c r="A334" s="78" t="s">
        <v>49</v>
      </c>
      <c r="B334" s="79" t="s">
        <v>95</v>
      </c>
      <c r="C334" s="168" t="s">
        <v>938</v>
      </c>
      <c r="D334" s="168"/>
      <c r="E334" s="168"/>
      <c r="F334" s="168"/>
      <c r="G334" s="168"/>
      <c r="H334" s="168"/>
      <c r="I334" s="168"/>
      <c r="J334" s="80" t="s">
        <v>3</v>
      </c>
      <c r="K334" s="80" t="s">
        <v>3</v>
      </c>
      <c r="L334" s="80" t="s">
        <v>3</v>
      </c>
      <c r="M334" s="81">
        <f>SUM(M335:M337)</f>
        <v>0</v>
      </c>
      <c r="AI334" s="72" t="s">
        <v>49</v>
      </c>
      <c r="AS334" s="82">
        <f>SUM(AJ335:AJ337)</f>
        <v>0</v>
      </c>
      <c r="AT334" s="82">
        <f>SUM(AK335:AK337)</f>
        <v>0</v>
      </c>
      <c r="AU334" s="82">
        <f>SUM(AL335:AL337)</f>
        <v>0</v>
      </c>
    </row>
    <row r="335" spans="1:64" ht="15" customHeight="1">
      <c r="A335" s="65" t="s">
        <v>332</v>
      </c>
      <c r="B335" s="66" t="s">
        <v>950</v>
      </c>
      <c r="C335" s="150" t="s">
        <v>951</v>
      </c>
      <c r="D335" s="150"/>
      <c r="E335" s="150"/>
      <c r="F335" s="150"/>
      <c r="G335" s="150"/>
      <c r="H335" s="150"/>
      <c r="I335" s="150"/>
      <c r="J335" s="66" t="s">
        <v>55</v>
      </c>
      <c r="K335" s="83">
        <v>3</v>
      </c>
      <c r="L335" s="108"/>
      <c r="M335" s="84">
        <f>K335*L335</f>
        <v>0</v>
      </c>
      <c r="Z335" s="83">
        <f>IF(AQ335="5",BJ335,0)</f>
        <v>0</v>
      </c>
      <c r="AB335" s="83">
        <f>IF(AQ335="1",BH335,0)</f>
        <v>0</v>
      </c>
      <c r="AC335" s="83">
        <f>IF(AQ335="1",BI335,0)</f>
        <v>0</v>
      </c>
      <c r="AD335" s="83">
        <f>IF(AQ335="7",BH335,0)</f>
        <v>0</v>
      </c>
      <c r="AE335" s="83">
        <f>IF(AQ335="7",BI335,0)</f>
        <v>0</v>
      </c>
      <c r="AF335" s="83">
        <f>IF(AQ335="2",BH335,0)</f>
        <v>0</v>
      </c>
      <c r="AG335" s="83">
        <f>IF(AQ335="2",BI335,0)</f>
        <v>0</v>
      </c>
      <c r="AH335" s="83">
        <f>IF(AQ335="0",BJ335,0)</f>
        <v>0</v>
      </c>
      <c r="AI335" s="72" t="s">
        <v>49</v>
      </c>
      <c r="AJ335" s="83">
        <f>IF(AN335=0,M335,0)</f>
        <v>0</v>
      </c>
      <c r="AK335" s="83">
        <f>IF(AN335=15,M335,0)</f>
        <v>0</v>
      </c>
      <c r="AL335" s="83">
        <f>IF(AN335=21,M335,0)</f>
        <v>0</v>
      </c>
      <c r="AN335" s="83">
        <v>21</v>
      </c>
      <c r="AO335" s="83">
        <f>L335*0.0490143170058093</f>
        <v>0</v>
      </c>
      <c r="AP335" s="83">
        <f>L335*(1-0.0490143170058093)</f>
        <v>0</v>
      </c>
      <c r="AQ335" s="85" t="s">
        <v>52</v>
      </c>
      <c r="AV335" s="83">
        <f>AW335+AX335</f>
        <v>0</v>
      </c>
      <c r="AW335" s="83">
        <f>K335*AO335</f>
        <v>0</v>
      </c>
      <c r="AX335" s="83">
        <f>K335*AP335</f>
        <v>0</v>
      </c>
      <c r="AY335" s="85" t="s">
        <v>942</v>
      </c>
      <c r="AZ335" s="85" t="s">
        <v>781</v>
      </c>
      <c r="BA335" s="72" t="s">
        <v>58</v>
      </c>
      <c r="BC335" s="83">
        <f>AW335+AX335</f>
        <v>0</v>
      </c>
      <c r="BD335" s="83">
        <f>L335/(100-BE335)*100</f>
        <v>0</v>
      </c>
      <c r="BE335" s="83">
        <v>0</v>
      </c>
      <c r="BF335" s="83">
        <f>335</f>
        <v>335</v>
      </c>
      <c r="BH335" s="83">
        <f>K335*AO335</f>
        <v>0</v>
      </c>
      <c r="BI335" s="83">
        <f>K335*AP335</f>
        <v>0</v>
      </c>
      <c r="BJ335" s="83">
        <f>K335*L335</f>
        <v>0</v>
      </c>
      <c r="BK335" s="83"/>
      <c r="BL335" s="83">
        <v>96</v>
      </c>
    </row>
    <row r="336" spans="1:13" ht="15" customHeight="1">
      <c r="A336" s="86"/>
      <c r="C336" s="87" t="s">
        <v>65</v>
      </c>
      <c r="I336" s="87" t="s">
        <v>1174</v>
      </c>
      <c r="K336" s="88">
        <v>3.0000000000000004</v>
      </c>
      <c r="M336" s="89"/>
    </row>
    <row r="337" spans="1:64" ht="15" customHeight="1">
      <c r="A337" s="65" t="s">
        <v>625</v>
      </c>
      <c r="B337" s="66" t="s">
        <v>1175</v>
      </c>
      <c r="C337" s="150" t="s">
        <v>1176</v>
      </c>
      <c r="D337" s="150"/>
      <c r="E337" s="150"/>
      <c r="F337" s="150"/>
      <c r="G337" s="150"/>
      <c r="H337" s="150"/>
      <c r="I337" s="150"/>
      <c r="J337" s="66" t="s">
        <v>191</v>
      </c>
      <c r="K337" s="83">
        <v>17</v>
      </c>
      <c r="L337" s="108"/>
      <c r="M337" s="84">
        <f>K337*L337</f>
        <v>0</v>
      </c>
      <c r="Z337" s="83">
        <f>IF(AQ337="5",BJ337,0)</f>
        <v>0</v>
      </c>
      <c r="AB337" s="83">
        <f>IF(AQ337="1",BH337,0)</f>
        <v>0</v>
      </c>
      <c r="AC337" s="83">
        <f>IF(AQ337="1",BI337,0)</f>
        <v>0</v>
      </c>
      <c r="AD337" s="83">
        <f>IF(AQ337="7",BH337,0)</f>
        <v>0</v>
      </c>
      <c r="AE337" s="83">
        <f>IF(AQ337="7",BI337,0)</f>
        <v>0</v>
      </c>
      <c r="AF337" s="83">
        <f>IF(AQ337="2",BH337,0)</f>
        <v>0</v>
      </c>
      <c r="AG337" s="83">
        <f>IF(AQ337="2",BI337,0)</f>
        <v>0</v>
      </c>
      <c r="AH337" s="83">
        <f>IF(AQ337="0",BJ337,0)</f>
        <v>0</v>
      </c>
      <c r="AI337" s="72" t="s">
        <v>49</v>
      </c>
      <c r="AJ337" s="83">
        <f>IF(AN337=0,M337,0)</f>
        <v>0</v>
      </c>
      <c r="AK337" s="83">
        <f>IF(AN337=15,M337,0)</f>
        <v>0</v>
      </c>
      <c r="AL337" s="83">
        <f>IF(AN337=21,M337,0)</f>
        <v>0</v>
      </c>
      <c r="AN337" s="83">
        <v>21</v>
      </c>
      <c r="AO337" s="83">
        <f>L337*0.131781707852609</f>
        <v>0</v>
      </c>
      <c r="AP337" s="83">
        <f>L337*(1-0.131781707852609)</f>
        <v>0</v>
      </c>
      <c r="AQ337" s="85" t="s">
        <v>52</v>
      </c>
      <c r="AV337" s="83">
        <f>AW337+AX337</f>
        <v>0</v>
      </c>
      <c r="AW337" s="83">
        <f>K337*AO337</f>
        <v>0</v>
      </c>
      <c r="AX337" s="83">
        <f>K337*AP337</f>
        <v>0</v>
      </c>
      <c r="AY337" s="85" t="s">
        <v>942</v>
      </c>
      <c r="AZ337" s="85" t="s">
        <v>781</v>
      </c>
      <c r="BA337" s="72" t="s">
        <v>58</v>
      </c>
      <c r="BC337" s="83">
        <f>AW337+AX337</f>
        <v>0</v>
      </c>
      <c r="BD337" s="83">
        <f>L337/(100-BE337)*100</f>
        <v>0</v>
      </c>
      <c r="BE337" s="83">
        <v>0</v>
      </c>
      <c r="BF337" s="83">
        <f>337</f>
        <v>337</v>
      </c>
      <c r="BH337" s="83">
        <f>K337*AO337</f>
        <v>0</v>
      </c>
      <c r="BI337" s="83">
        <f>K337*AP337</f>
        <v>0</v>
      </c>
      <c r="BJ337" s="83">
        <f>K337*L337</f>
        <v>0</v>
      </c>
      <c r="BK337" s="83"/>
      <c r="BL337" s="83">
        <v>96</v>
      </c>
    </row>
    <row r="338" spans="1:13" ht="15" customHeight="1">
      <c r="A338" s="86"/>
      <c r="C338" s="87" t="s">
        <v>156</v>
      </c>
      <c r="I338" s="87" t="s">
        <v>49</v>
      </c>
      <c r="K338" s="88">
        <v>17</v>
      </c>
      <c r="M338" s="89"/>
    </row>
    <row r="339" spans="1:47" ht="15" customHeight="1">
      <c r="A339" s="78" t="s">
        <v>49</v>
      </c>
      <c r="B339" s="79" t="s">
        <v>1177</v>
      </c>
      <c r="C339" s="168" t="s">
        <v>1178</v>
      </c>
      <c r="D339" s="168"/>
      <c r="E339" s="168"/>
      <c r="F339" s="168"/>
      <c r="G339" s="168"/>
      <c r="H339" s="168"/>
      <c r="I339" s="168"/>
      <c r="J339" s="80" t="s">
        <v>3</v>
      </c>
      <c r="K339" s="80" t="s">
        <v>3</v>
      </c>
      <c r="L339" s="80" t="s">
        <v>3</v>
      </c>
      <c r="M339" s="81">
        <f>SUM(M340:M340)</f>
        <v>0</v>
      </c>
      <c r="AI339" s="72" t="s">
        <v>49</v>
      </c>
      <c r="AS339" s="82">
        <f>SUM(AJ340:AJ340)</f>
        <v>0</v>
      </c>
      <c r="AT339" s="82">
        <f>SUM(AK340:AK340)</f>
        <v>0</v>
      </c>
      <c r="AU339" s="82">
        <f>SUM(AL340:AL340)</f>
        <v>0</v>
      </c>
    </row>
    <row r="340" spans="1:64" ht="15" customHeight="1">
      <c r="A340" s="65" t="s">
        <v>631</v>
      </c>
      <c r="B340" s="66" t="s">
        <v>1179</v>
      </c>
      <c r="C340" s="150" t="s">
        <v>1180</v>
      </c>
      <c r="D340" s="150"/>
      <c r="E340" s="150"/>
      <c r="F340" s="150"/>
      <c r="G340" s="150"/>
      <c r="H340" s="150"/>
      <c r="I340" s="150"/>
      <c r="J340" s="66" t="s">
        <v>191</v>
      </c>
      <c r="K340" s="83">
        <v>20</v>
      </c>
      <c r="L340" s="108"/>
      <c r="M340" s="84">
        <f>K340*L340</f>
        <v>0</v>
      </c>
      <c r="Z340" s="83">
        <f>IF(AQ340="5",BJ340,0)</f>
        <v>0</v>
      </c>
      <c r="AB340" s="83">
        <f>IF(AQ340="1",BH340,0)</f>
        <v>0</v>
      </c>
      <c r="AC340" s="83">
        <f>IF(AQ340="1",BI340,0)</f>
        <v>0</v>
      </c>
      <c r="AD340" s="83">
        <f>IF(AQ340="7",BH340,0)</f>
        <v>0</v>
      </c>
      <c r="AE340" s="83">
        <f>IF(AQ340="7",BI340,0)</f>
        <v>0</v>
      </c>
      <c r="AF340" s="83">
        <f>IF(AQ340="2",BH340,0)</f>
        <v>0</v>
      </c>
      <c r="AG340" s="83">
        <f>IF(AQ340="2",BI340,0)</f>
        <v>0</v>
      </c>
      <c r="AH340" s="83">
        <f>IF(AQ340="0",BJ340,0)</f>
        <v>0</v>
      </c>
      <c r="AI340" s="72" t="s">
        <v>49</v>
      </c>
      <c r="AJ340" s="83">
        <f>IF(AN340=0,M340,0)</f>
        <v>0</v>
      </c>
      <c r="AK340" s="83">
        <f>IF(AN340=15,M340,0)</f>
        <v>0</v>
      </c>
      <c r="AL340" s="83">
        <f>IF(AN340=21,M340,0)</f>
        <v>0</v>
      </c>
      <c r="AN340" s="83">
        <v>21</v>
      </c>
      <c r="AO340" s="83">
        <f>L340*0</f>
        <v>0</v>
      </c>
      <c r="AP340" s="83">
        <f>L340*(1-0)</f>
        <v>0</v>
      </c>
      <c r="AQ340" s="85" t="s">
        <v>62</v>
      </c>
      <c r="AV340" s="83">
        <f>AW340+AX340</f>
        <v>0</v>
      </c>
      <c r="AW340" s="83">
        <f>K340*AO340</f>
        <v>0</v>
      </c>
      <c r="AX340" s="83">
        <f>K340*AP340</f>
        <v>0</v>
      </c>
      <c r="AY340" s="85" t="s">
        <v>1181</v>
      </c>
      <c r="AZ340" s="85" t="s">
        <v>781</v>
      </c>
      <c r="BA340" s="72" t="s">
        <v>58</v>
      </c>
      <c r="BC340" s="83">
        <f>AW340+AX340</f>
        <v>0</v>
      </c>
      <c r="BD340" s="83">
        <f>L340/(100-BE340)*100</f>
        <v>0</v>
      </c>
      <c r="BE340" s="83">
        <v>0</v>
      </c>
      <c r="BF340" s="83">
        <f>340</f>
        <v>340</v>
      </c>
      <c r="BH340" s="83">
        <f>K340*AO340</f>
        <v>0</v>
      </c>
      <c r="BI340" s="83">
        <f>K340*AP340</f>
        <v>0</v>
      </c>
      <c r="BJ340" s="83">
        <f>K340*L340</f>
        <v>0</v>
      </c>
      <c r="BK340" s="83"/>
      <c r="BL340" s="83"/>
    </row>
    <row r="341" spans="1:13" ht="15" customHeight="1">
      <c r="A341" s="86"/>
      <c r="C341" s="87" t="s">
        <v>176</v>
      </c>
      <c r="I341" s="87" t="s">
        <v>49</v>
      </c>
      <c r="K341" s="88">
        <v>20</v>
      </c>
      <c r="M341" s="89"/>
    </row>
    <row r="342" spans="1:47" ht="15" customHeight="1">
      <c r="A342" s="78" t="s">
        <v>49</v>
      </c>
      <c r="B342" s="79" t="s">
        <v>992</v>
      </c>
      <c r="C342" s="168" t="s">
        <v>993</v>
      </c>
      <c r="D342" s="168"/>
      <c r="E342" s="168"/>
      <c r="F342" s="168"/>
      <c r="G342" s="168"/>
      <c r="H342" s="168"/>
      <c r="I342" s="168"/>
      <c r="J342" s="80" t="s">
        <v>3</v>
      </c>
      <c r="K342" s="80" t="s">
        <v>3</v>
      </c>
      <c r="L342" s="80" t="s">
        <v>3</v>
      </c>
      <c r="M342" s="81">
        <f>SUM(M343:M349)</f>
        <v>0</v>
      </c>
      <c r="AI342" s="72" t="s">
        <v>49</v>
      </c>
      <c r="AS342" s="82">
        <f>SUM(AJ343:AJ349)</f>
        <v>0</v>
      </c>
      <c r="AT342" s="82">
        <f>SUM(AK343:AK349)</f>
        <v>0</v>
      </c>
      <c r="AU342" s="82">
        <f>SUM(AL343:AL349)</f>
        <v>0</v>
      </c>
    </row>
    <row r="343" spans="1:64" ht="15" customHeight="1">
      <c r="A343" s="65" t="s">
        <v>634</v>
      </c>
      <c r="B343" s="66" t="s">
        <v>964</v>
      </c>
      <c r="C343" s="150" t="s">
        <v>1292</v>
      </c>
      <c r="D343" s="150"/>
      <c r="E343" s="150"/>
      <c r="F343" s="150"/>
      <c r="G343" s="150"/>
      <c r="H343" s="150"/>
      <c r="I343" s="150"/>
      <c r="J343" s="66" t="s">
        <v>293</v>
      </c>
      <c r="K343" s="83">
        <v>533.5071</v>
      </c>
      <c r="L343" s="108"/>
      <c r="M343" s="84">
        <f>K343*L343</f>
        <v>0</v>
      </c>
      <c r="Z343" s="83">
        <f>IF(AQ343="5",BJ343,0)</f>
        <v>0</v>
      </c>
      <c r="AB343" s="83">
        <f>IF(AQ343="1",BH343,0)</f>
        <v>0</v>
      </c>
      <c r="AC343" s="83">
        <f>IF(AQ343="1",BI343,0)</f>
        <v>0</v>
      </c>
      <c r="AD343" s="83">
        <f>IF(AQ343="7",BH343,0)</f>
        <v>0</v>
      </c>
      <c r="AE343" s="83">
        <f>IF(AQ343="7",BI343,0)</f>
        <v>0</v>
      </c>
      <c r="AF343" s="83">
        <f>IF(AQ343="2",BH343,0)</f>
        <v>0</v>
      </c>
      <c r="AG343" s="83">
        <f>IF(AQ343="2",BI343,0)</f>
        <v>0</v>
      </c>
      <c r="AH343" s="83">
        <f>IF(AQ343="0",BJ343,0)</f>
        <v>0</v>
      </c>
      <c r="AI343" s="72" t="s">
        <v>49</v>
      </c>
      <c r="AJ343" s="83">
        <f>IF(AN343=0,M343,0)</f>
        <v>0</v>
      </c>
      <c r="AK343" s="83">
        <f>IF(AN343=15,M343,0)</f>
        <v>0</v>
      </c>
      <c r="AL343" s="83">
        <f>IF(AN343=21,M343,0)</f>
        <v>0</v>
      </c>
      <c r="AN343" s="83">
        <v>21</v>
      </c>
      <c r="AO343" s="83">
        <f>L343*0</f>
        <v>0</v>
      </c>
      <c r="AP343" s="83">
        <f>L343*(1-0)</f>
        <v>0</v>
      </c>
      <c r="AQ343" s="85" t="s">
        <v>73</v>
      </c>
      <c r="AV343" s="83">
        <f>AW343+AX343</f>
        <v>0</v>
      </c>
      <c r="AW343" s="83">
        <f>K343*AO343</f>
        <v>0</v>
      </c>
      <c r="AX343" s="83">
        <f>K343*AP343</f>
        <v>0</v>
      </c>
      <c r="AY343" s="85" t="s">
        <v>997</v>
      </c>
      <c r="AZ343" s="85" t="s">
        <v>781</v>
      </c>
      <c r="BA343" s="72" t="s">
        <v>58</v>
      </c>
      <c r="BC343" s="83">
        <f>AW343+AX343</f>
        <v>0</v>
      </c>
      <c r="BD343" s="83">
        <f>L343/(100-BE343)*100</f>
        <v>0</v>
      </c>
      <c r="BE343" s="83">
        <v>0</v>
      </c>
      <c r="BF343" s="83">
        <f>343</f>
        <v>343</v>
      </c>
      <c r="BH343" s="83">
        <f>K343*AO343</f>
        <v>0</v>
      </c>
      <c r="BI343" s="83">
        <f>K343*AP343</f>
        <v>0</v>
      </c>
      <c r="BJ343" s="83">
        <f>K343*L343</f>
        <v>0</v>
      </c>
      <c r="BK343" s="83"/>
      <c r="BL343" s="83"/>
    </row>
    <row r="344" spans="1:13" ht="15" customHeight="1">
      <c r="A344" s="86"/>
      <c r="C344" s="87" t="s">
        <v>1182</v>
      </c>
      <c r="I344" s="87" t="s">
        <v>1041</v>
      </c>
      <c r="K344" s="88">
        <v>184.21710000000002</v>
      </c>
      <c r="M344" s="89"/>
    </row>
    <row r="345" spans="1:13" ht="15" customHeight="1">
      <c r="A345" s="86"/>
      <c r="C345" s="87" t="s">
        <v>1298</v>
      </c>
      <c r="I345" s="87" t="s">
        <v>1042</v>
      </c>
      <c r="K345" s="88">
        <v>349.29</v>
      </c>
      <c r="M345" s="89"/>
    </row>
    <row r="346" spans="1:13" ht="94.5" customHeight="1">
      <c r="A346" s="86"/>
      <c r="B346" s="90" t="s">
        <v>1053</v>
      </c>
      <c r="C346" s="161" t="s">
        <v>1054</v>
      </c>
      <c r="D346" s="162"/>
      <c r="E346" s="162"/>
      <c r="F346" s="162"/>
      <c r="G346" s="162"/>
      <c r="H346" s="162"/>
      <c r="I346" s="162"/>
      <c r="J346" s="162"/>
      <c r="K346" s="162"/>
      <c r="L346" s="162"/>
      <c r="M346" s="163"/>
    </row>
    <row r="347" spans="1:64" ht="15" customHeight="1">
      <c r="A347" s="65" t="s">
        <v>637</v>
      </c>
      <c r="B347" s="66" t="s">
        <v>1049</v>
      </c>
      <c r="C347" s="150" t="s">
        <v>1299</v>
      </c>
      <c r="D347" s="150"/>
      <c r="E347" s="150"/>
      <c r="F347" s="150"/>
      <c r="G347" s="150"/>
      <c r="H347" s="150"/>
      <c r="I347" s="150"/>
      <c r="J347" s="66" t="s">
        <v>293</v>
      </c>
      <c r="K347" s="83">
        <v>57.01752</v>
      </c>
      <c r="L347" s="108"/>
      <c r="M347" s="84">
        <f>K347*L347</f>
        <v>0</v>
      </c>
      <c r="Z347" s="83">
        <f>IF(AQ347="5",BJ347,0)</f>
        <v>0</v>
      </c>
      <c r="AB347" s="83">
        <f>IF(AQ347="1",BH347,0)</f>
        <v>0</v>
      </c>
      <c r="AC347" s="83">
        <f>IF(AQ347="1",BI347,0)</f>
        <v>0</v>
      </c>
      <c r="AD347" s="83">
        <f>IF(AQ347="7",BH347,0)</f>
        <v>0</v>
      </c>
      <c r="AE347" s="83">
        <f>IF(AQ347="7",BI347,0)</f>
        <v>0</v>
      </c>
      <c r="AF347" s="83">
        <f>IF(AQ347="2",BH347,0)</f>
        <v>0</v>
      </c>
      <c r="AG347" s="83">
        <f>IF(AQ347="2",BI347,0)</f>
        <v>0</v>
      </c>
      <c r="AH347" s="83">
        <f>IF(AQ347="0",BJ347,0)</f>
        <v>0</v>
      </c>
      <c r="AI347" s="72" t="s">
        <v>49</v>
      </c>
      <c r="AJ347" s="83">
        <f>IF(AN347=0,M347,0)</f>
        <v>0</v>
      </c>
      <c r="AK347" s="83">
        <f>IF(AN347=15,M347,0)</f>
        <v>0</v>
      </c>
      <c r="AL347" s="83">
        <f>IF(AN347=21,M347,0)</f>
        <v>0</v>
      </c>
      <c r="AN347" s="83">
        <v>21</v>
      </c>
      <c r="AO347" s="83">
        <f>L347*0</f>
        <v>0</v>
      </c>
      <c r="AP347" s="83">
        <f>L347*(1-0)</f>
        <v>0</v>
      </c>
      <c r="AQ347" s="85" t="s">
        <v>73</v>
      </c>
      <c r="AV347" s="83">
        <f>AW347+AX347</f>
        <v>0</v>
      </c>
      <c r="AW347" s="83">
        <f>K347*AO347</f>
        <v>0</v>
      </c>
      <c r="AX347" s="83">
        <f>K347*AP347</f>
        <v>0</v>
      </c>
      <c r="AY347" s="85" t="s">
        <v>997</v>
      </c>
      <c r="AZ347" s="85" t="s">
        <v>781</v>
      </c>
      <c r="BA347" s="72" t="s">
        <v>58</v>
      </c>
      <c r="BC347" s="83">
        <f>AW347+AX347</f>
        <v>0</v>
      </c>
      <c r="BD347" s="83">
        <f>L347/(100-BE347)*100</f>
        <v>0</v>
      </c>
      <c r="BE347" s="83">
        <v>0</v>
      </c>
      <c r="BF347" s="83">
        <f>347</f>
        <v>347</v>
      </c>
      <c r="BH347" s="83">
        <f>K347*AO347</f>
        <v>0</v>
      </c>
      <c r="BI347" s="83">
        <f>K347*AP347</f>
        <v>0</v>
      </c>
      <c r="BJ347" s="83">
        <f>K347*L347</f>
        <v>0</v>
      </c>
      <c r="BK347" s="83"/>
      <c r="BL347" s="83"/>
    </row>
    <row r="348" spans="1:13" ht="13.5" customHeight="1">
      <c r="A348" s="86"/>
      <c r="B348" s="90" t="s">
        <v>1053</v>
      </c>
      <c r="C348" s="161" t="s">
        <v>1300</v>
      </c>
      <c r="D348" s="162"/>
      <c r="E348" s="162"/>
      <c r="F348" s="162"/>
      <c r="G348" s="162"/>
      <c r="H348" s="162"/>
      <c r="I348" s="162"/>
      <c r="J348" s="162"/>
      <c r="K348" s="162"/>
      <c r="L348" s="162"/>
      <c r="M348" s="163"/>
    </row>
    <row r="349" spans="1:64" ht="15" customHeight="1">
      <c r="A349" s="65" t="s">
        <v>645</v>
      </c>
      <c r="B349" s="66" t="s">
        <v>1056</v>
      </c>
      <c r="C349" s="150" t="s">
        <v>1050</v>
      </c>
      <c r="D349" s="150"/>
      <c r="E349" s="150"/>
      <c r="F349" s="150"/>
      <c r="G349" s="150"/>
      <c r="H349" s="150"/>
      <c r="I349" s="150"/>
      <c r="J349" s="66" t="s">
        <v>293</v>
      </c>
      <c r="K349" s="83">
        <v>18.74653</v>
      </c>
      <c r="L349" s="108"/>
      <c r="M349" s="84">
        <f>K349*L349</f>
        <v>0</v>
      </c>
      <c r="Z349" s="83">
        <f>IF(AQ349="5",BJ349,0)</f>
        <v>0</v>
      </c>
      <c r="AB349" s="83">
        <f>IF(AQ349="1",BH349,0)</f>
        <v>0</v>
      </c>
      <c r="AC349" s="83">
        <f>IF(AQ349="1",BI349,0)</f>
        <v>0</v>
      </c>
      <c r="AD349" s="83">
        <f>IF(AQ349="7",BH349,0)</f>
        <v>0</v>
      </c>
      <c r="AE349" s="83">
        <f>IF(AQ349="7",BI349,0)</f>
        <v>0</v>
      </c>
      <c r="AF349" s="83">
        <f>IF(AQ349="2",BH349,0)</f>
        <v>0</v>
      </c>
      <c r="AG349" s="83">
        <f>IF(AQ349="2",BI349,0)</f>
        <v>0</v>
      </c>
      <c r="AH349" s="83">
        <f>IF(AQ349="0",BJ349,0)</f>
        <v>0</v>
      </c>
      <c r="AI349" s="72" t="s">
        <v>49</v>
      </c>
      <c r="AJ349" s="83">
        <f>IF(AN349=0,M349,0)</f>
        <v>0</v>
      </c>
      <c r="AK349" s="83">
        <f>IF(AN349=15,M349,0)</f>
        <v>0</v>
      </c>
      <c r="AL349" s="83">
        <f>IF(AN349=21,M349,0)</f>
        <v>0</v>
      </c>
      <c r="AN349" s="83">
        <v>21</v>
      </c>
      <c r="AO349" s="83">
        <f>L349*0</f>
        <v>0</v>
      </c>
      <c r="AP349" s="83">
        <f>L349*(1-0)</f>
        <v>0</v>
      </c>
      <c r="AQ349" s="85" t="s">
        <v>73</v>
      </c>
      <c r="AV349" s="83">
        <f>AW349+AX349</f>
        <v>0</v>
      </c>
      <c r="AW349" s="83">
        <f>K349*AO349</f>
        <v>0</v>
      </c>
      <c r="AX349" s="83">
        <f>K349*AP349</f>
        <v>0</v>
      </c>
      <c r="AY349" s="85" t="s">
        <v>997</v>
      </c>
      <c r="AZ349" s="85" t="s">
        <v>781</v>
      </c>
      <c r="BA349" s="72" t="s">
        <v>58</v>
      </c>
      <c r="BC349" s="83">
        <f>AW349+AX349</f>
        <v>0</v>
      </c>
      <c r="BD349" s="83">
        <f>L349/(100-BE349)*100</f>
        <v>0</v>
      </c>
      <c r="BE349" s="83">
        <v>0</v>
      </c>
      <c r="BF349" s="83">
        <f>349</f>
        <v>349</v>
      </c>
      <c r="BH349" s="83">
        <f>K349*AO349</f>
        <v>0</v>
      </c>
      <c r="BI349" s="83">
        <f>K349*AP349</f>
        <v>0</v>
      </c>
      <c r="BJ349" s="83">
        <f>K349*L349</f>
        <v>0</v>
      </c>
      <c r="BK349" s="83"/>
      <c r="BL349" s="83"/>
    </row>
    <row r="350" spans="1:13" ht="13.5" customHeight="1">
      <c r="A350" s="86"/>
      <c r="B350" s="90" t="s">
        <v>1053</v>
      </c>
      <c r="C350" s="161" t="s">
        <v>1300</v>
      </c>
      <c r="D350" s="162"/>
      <c r="E350" s="162"/>
      <c r="F350" s="162"/>
      <c r="G350" s="162"/>
      <c r="H350" s="162"/>
      <c r="I350" s="162"/>
      <c r="J350" s="162"/>
      <c r="K350" s="162"/>
      <c r="L350" s="162"/>
      <c r="M350" s="163"/>
    </row>
    <row r="351" spans="1:47" ht="15" customHeight="1">
      <c r="A351" s="78" t="s">
        <v>49</v>
      </c>
      <c r="B351" s="79" t="s">
        <v>49</v>
      </c>
      <c r="C351" s="168" t="s">
        <v>1058</v>
      </c>
      <c r="D351" s="168"/>
      <c r="E351" s="168"/>
      <c r="F351" s="168"/>
      <c r="G351" s="168"/>
      <c r="H351" s="168"/>
      <c r="I351" s="168"/>
      <c r="J351" s="80" t="s">
        <v>3</v>
      </c>
      <c r="K351" s="80" t="s">
        <v>3</v>
      </c>
      <c r="L351" s="80" t="s">
        <v>3</v>
      </c>
      <c r="M351" s="81">
        <f>SUM(M352:M356)</f>
        <v>0</v>
      </c>
      <c r="AI351" s="72" t="s">
        <v>49</v>
      </c>
      <c r="AS351" s="82">
        <f>SUM(AJ352:AJ356)</f>
        <v>0</v>
      </c>
      <c r="AT351" s="82">
        <f>SUM(AK352:AK356)</f>
        <v>0</v>
      </c>
      <c r="AU351" s="82">
        <f>SUM(AL352:AL356)</f>
        <v>0</v>
      </c>
    </row>
    <row r="352" spans="1:64" ht="15" customHeight="1">
      <c r="A352" s="65" t="s">
        <v>652</v>
      </c>
      <c r="B352" s="66" t="s">
        <v>1060</v>
      </c>
      <c r="C352" s="150" t="s">
        <v>1061</v>
      </c>
      <c r="D352" s="150"/>
      <c r="E352" s="150"/>
      <c r="F352" s="150"/>
      <c r="G352" s="150"/>
      <c r="H352" s="150"/>
      <c r="I352" s="150"/>
      <c r="J352" s="66" t="s">
        <v>191</v>
      </c>
      <c r="K352" s="83">
        <v>17.3</v>
      </c>
      <c r="L352" s="108"/>
      <c r="M352" s="84">
        <f>K352*L352</f>
        <v>0</v>
      </c>
      <c r="Z352" s="83">
        <f>IF(AQ352="5",BJ352,0)</f>
        <v>0</v>
      </c>
      <c r="AB352" s="83">
        <f>IF(AQ352="1",BH352,0)</f>
        <v>0</v>
      </c>
      <c r="AC352" s="83">
        <f>IF(AQ352="1",BI352,0)</f>
        <v>0</v>
      </c>
      <c r="AD352" s="83">
        <f>IF(AQ352="7",BH352,0)</f>
        <v>0</v>
      </c>
      <c r="AE352" s="83">
        <f>IF(AQ352="7",BI352,0)</f>
        <v>0</v>
      </c>
      <c r="AF352" s="83">
        <f>IF(AQ352="2",BH352,0)</f>
        <v>0</v>
      </c>
      <c r="AG352" s="83">
        <f>IF(AQ352="2",BI352,0)</f>
        <v>0</v>
      </c>
      <c r="AH352" s="83">
        <f>IF(AQ352="0",BJ352,0)</f>
        <v>0</v>
      </c>
      <c r="AI352" s="72" t="s">
        <v>49</v>
      </c>
      <c r="AJ352" s="83">
        <f>IF(AN352=0,M352,0)</f>
        <v>0</v>
      </c>
      <c r="AK352" s="83">
        <f>IF(AN352=15,M352,0)</f>
        <v>0</v>
      </c>
      <c r="AL352" s="83">
        <f>IF(AN352=21,M352,0)</f>
        <v>0</v>
      </c>
      <c r="AN352" s="83">
        <v>21</v>
      </c>
      <c r="AO352" s="83">
        <f>L352*1</f>
        <v>0</v>
      </c>
      <c r="AP352" s="83">
        <f>L352*(1-1)</f>
        <v>0</v>
      </c>
      <c r="AQ352" s="85" t="s">
        <v>1062</v>
      </c>
      <c r="AV352" s="83">
        <f>AW352+AX352</f>
        <v>0</v>
      </c>
      <c r="AW352" s="83">
        <f>K352*AO352</f>
        <v>0</v>
      </c>
      <c r="AX352" s="83">
        <f>K352*AP352</f>
        <v>0</v>
      </c>
      <c r="AY352" s="85" t="s">
        <v>1063</v>
      </c>
      <c r="AZ352" s="85" t="s">
        <v>1064</v>
      </c>
      <c r="BA352" s="72" t="s">
        <v>58</v>
      </c>
      <c r="BC352" s="83">
        <f>AW352+AX352</f>
        <v>0</v>
      </c>
      <c r="BD352" s="83">
        <f>L352/(100-BE352)*100</f>
        <v>0</v>
      </c>
      <c r="BE352" s="83">
        <v>0</v>
      </c>
      <c r="BF352" s="83">
        <f>352</f>
        <v>352</v>
      </c>
      <c r="BH352" s="83">
        <f>K352*AO352</f>
        <v>0</v>
      </c>
      <c r="BI352" s="83">
        <f>K352*AP352</f>
        <v>0</v>
      </c>
      <c r="BJ352" s="83">
        <f>K352*L352</f>
        <v>0</v>
      </c>
      <c r="BK352" s="83"/>
      <c r="BL352" s="83"/>
    </row>
    <row r="353" spans="1:13" ht="15" customHeight="1">
      <c r="A353" s="86"/>
      <c r="C353" s="87" t="s">
        <v>1183</v>
      </c>
      <c r="I353" s="87" t="s">
        <v>49</v>
      </c>
      <c r="K353" s="88">
        <v>17.3</v>
      </c>
      <c r="M353" s="89"/>
    </row>
    <row r="354" spans="1:64" ht="15" customHeight="1">
      <c r="A354" s="65" t="s">
        <v>658</v>
      </c>
      <c r="B354" s="66" t="s">
        <v>1067</v>
      </c>
      <c r="C354" s="150" t="s">
        <v>1068</v>
      </c>
      <c r="D354" s="150"/>
      <c r="E354" s="150"/>
      <c r="F354" s="150"/>
      <c r="G354" s="150"/>
      <c r="H354" s="150"/>
      <c r="I354" s="150"/>
      <c r="J354" s="66" t="s">
        <v>55</v>
      </c>
      <c r="K354" s="83">
        <v>2</v>
      </c>
      <c r="L354" s="108"/>
      <c r="M354" s="84">
        <f>K354*L354</f>
        <v>0</v>
      </c>
      <c r="Z354" s="83">
        <f>IF(AQ354="5",BJ354,0)</f>
        <v>0</v>
      </c>
      <c r="AB354" s="83">
        <f>IF(AQ354="1",BH354,0)</f>
        <v>0</v>
      </c>
      <c r="AC354" s="83">
        <f>IF(AQ354="1",BI354,0)</f>
        <v>0</v>
      </c>
      <c r="AD354" s="83">
        <f>IF(AQ354="7",BH354,0)</f>
        <v>0</v>
      </c>
      <c r="AE354" s="83">
        <f>IF(AQ354="7",BI354,0)</f>
        <v>0</v>
      </c>
      <c r="AF354" s="83">
        <f>IF(AQ354="2",BH354,0)</f>
        <v>0</v>
      </c>
      <c r="AG354" s="83">
        <f>IF(AQ354="2",BI354,0)</f>
        <v>0</v>
      </c>
      <c r="AH354" s="83">
        <f>IF(AQ354="0",BJ354,0)</f>
        <v>0</v>
      </c>
      <c r="AI354" s="72" t="s">
        <v>49</v>
      </c>
      <c r="AJ354" s="83">
        <f>IF(AN354=0,M354,0)</f>
        <v>0</v>
      </c>
      <c r="AK354" s="83">
        <f>IF(AN354=15,M354,0)</f>
        <v>0</v>
      </c>
      <c r="AL354" s="83">
        <f>IF(AN354=21,M354,0)</f>
        <v>0</v>
      </c>
      <c r="AN354" s="83">
        <v>21</v>
      </c>
      <c r="AO354" s="83">
        <f>L354*1</f>
        <v>0</v>
      </c>
      <c r="AP354" s="83">
        <f>L354*(1-1)</f>
        <v>0</v>
      </c>
      <c r="AQ354" s="85" t="s">
        <v>1062</v>
      </c>
      <c r="AV354" s="83">
        <f>AW354+AX354</f>
        <v>0</v>
      </c>
      <c r="AW354" s="83">
        <f>K354*AO354</f>
        <v>0</v>
      </c>
      <c r="AX354" s="83">
        <f>K354*AP354</f>
        <v>0</v>
      </c>
      <c r="AY354" s="85" t="s">
        <v>1063</v>
      </c>
      <c r="AZ354" s="85" t="s">
        <v>1064</v>
      </c>
      <c r="BA354" s="72" t="s">
        <v>58</v>
      </c>
      <c r="BC354" s="83">
        <f>AW354+AX354</f>
        <v>0</v>
      </c>
      <c r="BD354" s="83">
        <f>L354/(100-BE354)*100</f>
        <v>0</v>
      </c>
      <c r="BE354" s="83">
        <v>0</v>
      </c>
      <c r="BF354" s="83">
        <f>354</f>
        <v>354</v>
      </c>
      <c r="BH354" s="83">
        <f>K354*AO354</f>
        <v>0</v>
      </c>
      <c r="BI354" s="83">
        <f>K354*AP354</f>
        <v>0</v>
      </c>
      <c r="BJ354" s="83">
        <f>K354*L354</f>
        <v>0</v>
      </c>
      <c r="BK354" s="83"/>
      <c r="BL354" s="83"/>
    </row>
    <row r="355" spans="1:13" ht="15" customHeight="1">
      <c r="A355" s="86"/>
      <c r="C355" s="87" t="s">
        <v>62</v>
      </c>
      <c r="I355" s="87" t="s">
        <v>49</v>
      </c>
      <c r="K355" s="88">
        <v>2</v>
      </c>
      <c r="M355" s="89"/>
    </row>
    <row r="356" spans="1:64" ht="15" customHeight="1">
      <c r="A356" s="100" t="s">
        <v>664</v>
      </c>
      <c r="B356" s="101" t="s">
        <v>1079</v>
      </c>
      <c r="C356" s="170" t="s">
        <v>1080</v>
      </c>
      <c r="D356" s="170"/>
      <c r="E356" s="170"/>
      <c r="F356" s="170"/>
      <c r="G356" s="170"/>
      <c r="H356" s="170"/>
      <c r="I356" s="170"/>
      <c r="J356" s="101" t="s">
        <v>293</v>
      </c>
      <c r="K356" s="102">
        <v>899.07306</v>
      </c>
      <c r="L356" s="109"/>
      <c r="M356" s="103">
        <f>K356*L356</f>
        <v>0</v>
      </c>
      <c r="Z356" s="83">
        <f>IF(AQ356="5",BJ356,0)</f>
        <v>0</v>
      </c>
      <c r="AB356" s="83">
        <f>IF(AQ356="1",BH356,0)</f>
        <v>0</v>
      </c>
      <c r="AC356" s="83">
        <f>IF(AQ356="1",BI356,0)</f>
        <v>0</v>
      </c>
      <c r="AD356" s="83">
        <f>IF(AQ356="7",BH356,0)</f>
        <v>0</v>
      </c>
      <c r="AE356" s="83">
        <f>IF(AQ356="7",BI356,0)</f>
        <v>0</v>
      </c>
      <c r="AF356" s="83">
        <f>IF(AQ356="2",BH356,0)</f>
        <v>0</v>
      </c>
      <c r="AG356" s="83">
        <f>IF(AQ356="2",BI356,0)</f>
        <v>0</v>
      </c>
      <c r="AH356" s="83">
        <f>IF(AQ356="0",BJ356,0)</f>
        <v>0</v>
      </c>
      <c r="AI356" s="72" t="s">
        <v>49</v>
      </c>
      <c r="AJ356" s="83">
        <f>IF(AN356=0,M356,0)</f>
        <v>0</v>
      </c>
      <c r="AK356" s="83">
        <f>IF(AN356=15,M356,0)</f>
        <v>0</v>
      </c>
      <c r="AL356" s="83">
        <f>IF(AN356=21,M356,0)</f>
        <v>0</v>
      </c>
      <c r="AN356" s="83">
        <v>21</v>
      </c>
      <c r="AO356" s="83">
        <f>L356*0</f>
        <v>0</v>
      </c>
      <c r="AP356" s="83">
        <f>L356*(1-0)</f>
        <v>0</v>
      </c>
      <c r="AQ356" s="85" t="s">
        <v>73</v>
      </c>
      <c r="AV356" s="83">
        <f>AW356+AX356</f>
        <v>0</v>
      </c>
      <c r="AW356" s="83">
        <f>K356*AO356</f>
        <v>0</v>
      </c>
      <c r="AX356" s="83">
        <f>K356*AP356</f>
        <v>0</v>
      </c>
      <c r="AY356" s="85" t="s">
        <v>1063</v>
      </c>
      <c r="AZ356" s="85" t="s">
        <v>1064</v>
      </c>
      <c r="BA356" s="72" t="s">
        <v>58</v>
      </c>
      <c r="BC356" s="83">
        <f>AW356+AX356</f>
        <v>0</v>
      </c>
      <c r="BD356" s="83">
        <f>L356/(100-BE356)*100</f>
        <v>0</v>
      </c>
      <c r="BE356" s="83">
        <v>0</v>
      </c>
      <c r="BF356" s="83">
        <f>356</f>
        <v>356</v>
      </c>
      <c r="BH356" s="83">
        <f>K356*AO356</f>
        <v>0</v>
      </c>
      <c r="BI356" s="83">
        <f>K356*AP356</f>
        <v>0</v>
      </c>
      <c r="BJ356" s="83">
        <f>K356*L356</f>
        <v>0</v>
      </c>
      <c r="BK356" s="83"/>
      <c r="BL356" s="83"/>
    </row>
    <row r="357" ht="15" customHeight="1">
      <c r="M357" s="104">
        <f>M12+M61+M70+M87+M100+M113+M117+M120+M130+M165+M175+M179+M207+M210+M265+M272+M294+M334+M339+M342+M351</f>
        <v>0</v>
      </c>
    </row>
    <row r="358" ht="15" customHeight="1">
      <c r="A358" s="105" t="s">
        <v>1053</v>
      </c>
    </row>
    <row r="359" spans="1:13" ht="54" customHeight="1">
      <c r="A359" s="152" t="s">
        <v>1184</v>
      </c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</row>
  </sheetData>
  <sheetProtection algorithmName="SHA-512" hashValue="ZDEjwTANDqMgCNiX3rQjxwopKVZR5NGLdlK5VvQVeer8FxQ1TMb7H0VfD+Li6BVbUuTqIg5Xzyy8z1IZ04n0lA==" saltValue="CW1M4PfAhVKMzLXWgVR0ew==" spinCount="100000" sheet="1" objects="1" scenarios="1"/>
  <mergeCells count="212">
    <mergeCell ref="A359:M359"/>
    <mergeCell ref="C349:I349"/>
    <mergeCell ref="C350:M350"/>
    <mergeCell ref="C351:I351"/>
    <mergeCell ref="C352:I352"/>
    <mergeCell ref="C354:I354"/>
    <mergeCell ref="C356:I356"/>
    <mergeCell ref="C340:I340"/>
    <mergeCell ref="C342:I342"/>
    <mergeCell ref="C343:I343"/>
    <mergeCell ref="C346:M346"/>
    <mergeCell ref="C347:I347"/>
    <mergeCell ref="C348:M348"/>
    <mergeCell ref="C330:I330"/>
    <mergeCell ref="C332:I332"/>
    <mergeCell ref="C334:I334"/>
    <mergeCell ref="C335:I335"/>
    <mergeCell ref="C337:I337"/>
    <mergeCell ref="C339:I339"/>
    <mergeCell ref="C321:I321"/>
    <mergeCell ref="C323:M323"/>
    <mergeCell ref="C324:I324"/>
    <mergeCell ref="C326:M326"/>
    <mergeCell ref="C327:I327"/>
    <mergeCell ref="C329:M329"/>
    <mergeCell ref="C309:I309"/>
    <mergeCell ref="C312:I312"/>
    <mergeCell ref="C314:I314"/>
    <mergeCell ref="C316:I316"/>
    <mergeCell ref="C318:I318"/>
    <mergeCell ref="C320:M320"/>
    <mergeCell ref="C298:I298"/>
    <mergeCell ref="C300:M300"/>
    <mergeCell ref="C301:I301"/>
    <mergeCell ref="C304:I304"/>
    <mergeCell ref="C306:I306"/>
    <mergeCell ref="C308:M308"/>
    <mergeCell ref="C290:I290"/>
    <mergeCell ref="C291:M291"/>
    <mergeCell ref="C293:M293"/>
    <mergeCell ref="C294:I294"/>
    <mergeCell ref="C295:I295"/>
    <mergeCell ref="C297:M297"/>
    <mergeCell ref="C278:I278"/>
    <mergeCell ref="C280:I280"/>
    <mergeCell ref="C282:I282"/>
    <mergeCell ref="C284:I284"/>
    <mergeCell ref="C286:I286"/>
    <mergeCell ref="C288:I288"/>
    <mergeCell ref="C269:M269"/>
    <mergeCell ref="C270:I270"/>
    <mergeCell ref="C272:I272"/>
    <mergeCell ref="C273:I273"/>
    <mergeCell ref="C275:I275"/>
    <mergeCell ref="C277:M277"/>
    <mergeCell ref="C260:M260"/>
    <mergeCell ref="C261:I261"/>
    <mergeCell ref="C263:I263"/>
    <mergeCell ref="C265:I265"/>
    <mergeCell ref="C266:I266"/>
    <mergeCell ref="C267:M267"/>
    <mergeCell ref="C248:I248"/>
    <mergeCell ref="C251:I251"/>
    <mergeCell ref="C253:M253"/>
    <mergeCell ref="C254:I254"/>
    <mergeCell ref="C256:M256"/>
    <mergeCell ref="C257:I257"/>
    <mergeCell ref="C230:M230"/>
    <mergeCell ref="C231:I231"/>
    <mergeCell ref="C236:I236"/>
    <mergeCell ref="C241:M241"/>
    <mergeCell ref="C242:I242"/>
    <mergeCell ref="C245:I245"/>
    <mergeCell ref="C221:I221"/>
    <mergeCell ref="C223:M223"/>
    <mergeCell ref="C224:I224"/>
    <mergeCell ref="C226:M226"/>
    <mergeCell ref="C227:I227"/>
    <mergeCell ref="C228:M228"/>
    <mergeCell ref="C207:I207"/>
    <mergeCell ref="C208:I208"/>
    <mergeCell ref="C210:I210"/>
    <mergeCell ref="C211:I211"/>
    <mergeCell ref="C215:M215"/>
    <mergeCell ref="C216:I216"/>
    <mergeCell ref="C192:M192"/>
    <mergeCell ref="C196:I196"/>
    <mergeCell ref="C197:M197"/>
    <mergeCell ref="C202:I202"/>
    <mergeCell ref="C204:I204"/>
    <mergeCell ref="C205:M205"/>
    <mergeCell ref="C176:I176"/>
    <mergeCell ref="C178:M178"/>
    <mergeCell ref="C179:I179"/>
    <mergeCell ref="C180:I180"/>
    <mergeCell ref="C185:I185"/>
    <mergeCell ref="C191:I191"/>
    <mergeCell ref="C166:I166"/>
    <mergeCell ref="C168:M168"/>
    <mergeCell ref="C169:I169"/>
    <mergeCell ref="C171:I171"/>
    <mergeCell ref="C173:I173"/>
    <mergeCell ref="C175:I175"/>
    <mergeCell ref="C156:M156"/>
    <mergeCell ref="C157:I157"/>
    <mergeCell ref="C159:M159"/>
    <mergeCell ref="C160:I160"/>
    <mergeCell ref="C163:I163"/>
    <mergeCell ref="C165:I165"/>
    <mergeCell ref="C144:I144"/>
    <mergeCell ref="C146:I146"/>
    <mergeCell ref="C147:M147"/>
    <mergeCell ref="C149:I149"/>
    <mergeCell ref="C151:I151"/>
    <mergeCell ref="C154:I154"/>
    <mergeCell ref="C134:I134"/>
    <mergeCell ref="C137:M137"/>
    <mergeCell ref="C138:I138"/>
    <mergeCell ref="C140:M140"/>
    <mergeCell ref="C141:I141"/>
    <mergeCell ref="C142:M142"/>
    <mergeCell ref="C123:I123"/>
    <mergeCell ref="C126:I126"/>
    <mergeCell ref="C128:I128"/>
    <mergeCell ref="C130:I130"/>
    <mergeCell ref="C131:I131"/>
    <mergeCell ref="C133:M133"/>
    <mergeCell ref="C114:I114"/>
    <mergeCell ref="C116:M116"/>
    <mergeCell ref="C117:I117"/>
    <mergeCell ref="C118:I118"/>
    <mergeCell ref="C120:I120"/>
    <mergeCell ref="C121:I121"/>
    <mergeCell ref="C103:M103"/>
    <mergeCell ref="C104:I104"/>
    <mergeCell ref="C108:M108"/>
    <mergeCell ref="C109:I109"/>
    <mergeCell ref="C111:I111"/>
    <mergeCell ref="C113:I113"/>
    <mergeCell ref="C92:I92"/>
    <mergeCell ref="C94:I94"/>
    <mergeCell ref="C96:I96"/>
    <mergeCell ref="C98:I98"/>
    <mergeCell ref="C100:I100"/>
    <mergeCell ref="C101:I101"/>
    <mergeCell ref="C81:M81"/>
    <mergeCell ref="C82:I82"/>
    <mergeCell ref="C86:M86"/>
    <mergeCell ref="C87:I87"/>
    <mergeCell ref="C88:I88"/>
    <mergeCell ref="C90:I90"/>
    <mergeCell ref="C70:I70"/>
    <mergeCell ref="C71:I71"/>
    <mergeCell ref="C73:M73"/>
    <mergeCell ref="C74:I74"/>
    <mergeCell ref="C76:M76"/>
    <mergeCell ref="C77:I77"/>
    <mergeCell ref="C56:I56"/>
    <mergeCell ref="C58:M58"/>
    <mergeCell ref="C59:I59"/>
    <mergeCell ref="C61:I61"/>
    <mergeCell ref="C62:I62"/>
    <mergeCell ref="C66:I66"/>
    <mergeCell ref="C43:I43"/>
    <mergeCell ref="C47:M47"/>
    <mergeCell ref="C48:I48"/>
    <mergeCell ref="C51:I51"/>
    <mergeCell ref="C53:M53"/>
    <mergeCell ref="C54:I54"/>
    <mergeCell ref="C27:I27"/>
    <mergeCell ref="C33:M33"/>
    <mergeCell ref="C34:I34"/>
    <mergeCell ref="C39:M39"/>
    <mergeCell ref="C40:I40"/>
    <mergeCell ref="C42:M42"/>
    <mergeCell ref="C18:M18"/>
    <mergeCell ref="C19:I19"/>
    <mergeCell ref="C21:M21"/>
    <mergeCell ref="C22:I22"/>
    <mergeCell ref="C24:M24"/>
    <mergeCell ref="C25:I25"/>
    <mergeCell ref="C10:I10"/>
    <mergeCell ref="C11:I11"/>
    <mergeCell ref="C12:I12"/>
    <mergeCell ref="C13:I13"/>
    <mergeCell ref="C15:M15"/>
    <mergeCell ref="C16:I16"/>
    <mergeCell ref="A8:B9"/>
    <mergeCell ref="C8:D9"/>
    <mergeCell ref="E8:F9"/>
    <mergeCell ref="G8:G9"/>
    <mergeCell ref="H8:H9"/>
    <mergeCell ref="I8:M9"/>
    <mergeCell ref="A1:M1"/>
    <mergeCell ref="A2:B3"/>
    <mergeCell ref="C2:D3"/>
    <mergeCell ref="E2:F3"/>
    <mergeCell ref="G2:G3"/>
    <mergeCell ref="H2:H3"/>
    <mergeCell ref="I2:M3"/>
    <mergeCell ref="A6:B7"/>
    <mergeCell ref="C6:D7"/>
    <mergeCell ref="E6:F7"/>
    <mergeCell ref="G6:G7"/>
    <mergeCell ref="H6:H7"/>
    <mergeCell ref="I6:M7"/>
    <mergeCell ref="A4:B5"/>
    <mergeCell ref="C4:D5"/>
    <mergeCell ref="E4:F5"/>
    <mergeCell ref="G4:G5"/>
    <mergeCell ref="H4:H5"/>
    <mergeCell ref="I4:M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"/>
  <sheetViews>
    <sheetView workbookViewId="0" topLeftCell="A1">
      <selection activeCell="C13" sqref="C13:F13"/>
    </sheetView>
  </sheetViews>
  <sheetFormatPr defaultColWidth="12.140625" defaultRowHeight="15"/>
  <cols>
    <col min="1" max="1" width="4.00390625" style="1" customWidth="1"/>
    <col min="2" max="2" width="14.28125" style="1" customWidth="1"/>
    <col min="3" max="3" width="62.421875" style="1" customWidth="1"/>
    <col min="4" max="4" width="15.8515625" style="1" customWidth="1"/>
    <col min="5" max="5" width="10.8515625" style="1" customWidth="1"/>
    <col min="6" max="6" width="75.57421875" style="1" customWidth="1"/>
    <col min="7" max="7" width="5.8515625" style="1" customWidth="1"/>
    <col min="8" max="8" width="11.28125" style="1" customWidth="1"/>
    <col min="9" max="9" width="12.00390625" style="1" customWidth="1"/>
    <col min="10" max="10" width="10.28125" style="1" customWidth="1"/>
    <col min="11" max="11" width="12.00390625" style="1" customWidth="1"/>
    <col min="12" max="12" width="12.28125" style="1" customWidth="1"/>
    <col min="13" max="13" width="11.7109375" style="1" customWidth="1"/>
    <col min="14" max="24" width="12.140625" style="1" customWidth="1"/>
    <col min="25" max="74" width="12.140625" style="1" hidden="1" customWidth="1"/>
    <col min="75" max="256" width="12.140625" style="1" customWidth="1"/>
    <col min="257" max="257" width="4.00390625" style="1" customWidth="1"/>
    <col min="258" max="258" width="14.28125" style="1" customWidth="1"/>
    <col min="259" max="259" width="62.421875" style="1" customWidth="1"/>
    <col min="260" max="260" width="15.8515625" style="1" customWidth="1"/>
    <col min="261" max="261" width="10.8515625" style="1" customWidth="1"/>
    <col min="262" max="262" width="75.57421875" style="1" customWidth="1"/>
    <col min="263" max="263" width="5.8515625" style="1" customWidth="1"/>
    <col min="264" max="264" width="11.28125" style="1" customWidth="1"/>
    <col min="265" max="265" width="12.00390625" style="1" customWidth="1"/>
    <col min="266" max="266" width="10.28125" style="1" customWidth="1"/>
    <col min="267" max="267" width="12.00390625" style="1" customWidth="1"/>
    <col min="268" max="268" width="12.28125" style="1" customWidth="1"/>
    <col min="269" max="269" width="11.7109375" style="1" customWidth="1"/>
    <col min="270" max="280" width="12.140625" style="1" customWidth="1"/>
    <col min="281" max="330" width="12.140625" style="1" hidden="1" customWidth="1"/>
    <col min="331" max="512" width="12.140625" style="1" customWidth="1"/>
    <col min="513" max="513" width="4.00390625" style="1" customWidth="1"/>
    <col min="514" max="514" width="14.28125" style="1" customWidth="1"/>
    <col min="515" max="515" width="62.421875" style="1" customWidth="1"/>
    <col min="516" max="516" width="15.8515625" style="1" customWidth="1"/>
    <col min="517" max="517" width="10.8515625" style="1" customWidth="1"/>
    <col min="518" max="518" width="75.57421875" style="1" customWidth="1"/>
    <col min="519" max="519" width="5.8515625" style="1" customWidth="1"/>
    <col min="520" max="520" width="11.28125" style="1" customWidth="1"/>
    <col min="521" max="521" width="12.00390625" style="1" customWidth="1"/>
    <col min="522" max="522" width="10.28125" style="1" customWidth="1"/>
    <col min="523" max="523" width="12.00390625" style="1" customWidth="1"/>
    <col min="524" max="524" width="12.28125" style="1" customWidth="1"/>
    <col min="525" max="525" width="11.7109375" style="1" customWidth="1"/>
    <col min="526" max="536" width="12.140625" style="1" customWidth="1"/>
    <col min="537" max="586" width="12.140625" style="1" hidden="1" customWidth="1"/>
    <col min="587" max="768" width="12.140625" style="1" customWidth="1"/>
    <col min="769" max="769" width="4.00390625" style="1" customWidth="1"/>
    <col min="770" max="770" width="14.28125" style="1" customWidth="1"/>
    <col min="771" max="771" width="62.421875" style="1" customWidth="1"/>
    <col min="772" max="772" width="15.8515625" style="1" customWidth="1"/>
    <col min="773" max="773" width="10.8515625" style="1" customWidth="1"/>
    <col min="774" max="774" width="75.57421875" style="1" customWidth="1"/>
    <col min="775" max="775" width="5.8515625" style="1" customWidth="1"/>
    <col min="776" max="776" width="11.28125" style="1" customWidth="1"/>
    <col min="777" max="777" width="12.00390625" style="1" customWidth="1"/>
    <col min="778" max="778" width="10.28125" style="1" customWidth="1"/>
    <col min="779" max="779" width="12.00390625" style="1" customWidth="1"/>
    <col min="780" max="780" width="12.28125" style="1" customWidth="1"/>
    <col min="781" max="781" width="11.7109375" style="1" customWidth="1"/>
    <col min="782" max="792" width="12.140625" style="1" customWidth="1"/>
    <col min="793" max="842" width="12.140625" style="1" hidden="1" customWidth="1"/>
    <col min="843" max="1024" width="12.140625" style="1" customWidth="1"/>
    <col min="1025" max="1025" width="4.00390625" style="1" customWidth="1"/>
    <col min="1026" max="1026" width="14.28125" style="1" customWidth="1"/>
    <col min="1027" max="1027" width="62.421875" style="1" customWidth="1"/>
    <col min="1028" max="1028" width="15.8515625" style="1" customWidth="1"/>
    <col min="1029" max="1029" width="10.8515625" style="1" customWidth="1"/>
    <col min="1030" max="1030" width="75.57421875" style="1" customWidth="1"/>
    <col min="1031" max="1031" width="5.8515625" style="1" customWidth="1"/>
    <col min="1032" max="1032" width="11.28125" style="1" customWidth="1"/>
    <col min="1033" max="1033" width="12.00390625" style="1" customWidth="1"/>
    <col min="1034" max="1034" width="10.28125" style="1" customWidth="1"/>
    <col min="1035" max="1035" width="12.00390625" style="1" customWidth="1"/>
    <col min="1036" max="1036" width="12.28125" style="1" customWidth="1"/>
    <col min="1037" max="1037" width="11.7109375" style="1" customWidth="1"/>
    <col min="1038" max="1048" width="12.140625" style="1" customWidth="1"/>
    <col min="1049" max="1098" width="12.140625" style="1" hidden="1" customWidth="1"/>
    <col min="1099" max="1280" width="12.140625" style="1" customWidth="1"/>
    <col min="1281" max="1281" width="4.00390625" style="1" customWidth="1"/>
    <col min="1282" max="1282" width="14.28125" style="1" customWidth="1"/>
    <col min="1283" max="1283" width="62.421875" style="1" customWidth="1"/>
    <col min="1284" max="1284" width="15.8515625" style="1" customWidth="1"/>
    <col min="1285" max="1285" width="10.8515625" style="1" customWidth="1"/>
    <col min="1286" max="1286" width="75.57421875" style="1" customWidth="1"/>
    <col min="1287" max="1287" width="5.8515625" style="1" customWidth="1"/>
    <col min="1288" max="1288" width="11.28125" style="1" customWidth="1"/>
    <col min="1289" max="1289" width="12.00390625" style="1" customWidth="1"/>
    <col min="1290" max="1290" width="10.28125" style="1" customWidth="1"/>
    <col min="1291" max="1291" width="12.00390625" style="1" customWidth="1"/>
    <col min="1292" max="1292" width="12.28125" style="1" customWidth="1"/>
    <col min="1293" max="1293" width="11.7109375" style="1" customWidth="1"/>
    <col min="1294" max="1304" width="12.140625" style="1" customWidth="1"/>
    <col min="1305" max="1354" width="12.140625" style="1" hidden="1" customWidth="1"/>
    <col min="1355" max="1536" width="12.140625" style="1" customWidth="1"/>
    <col min="1537" max="1537" width="4.00390625" style="1" customWidth="1"/>
    <col min="1538" max="1538" width="14.28125" style="1" customWidth="1"/>
    <col min="1539" max="1539" width="62.421875" style="1" customWidth="1"/>
    <col min="1540" max="1540" width="15.8515625" style="1" customWidth="1"/>
    <col min="1541" max="1541" width="10.8515625" style="1" customWidth="1"/>
    <col min="1542" max="1542" width="75.57421875" style="1" customWidth="1"/>
    <col min="1543" max="1543" width="5.8515625" style="1" customWidth="1"/>
    <col min="1544" max="1544" width="11.28125" style="1" customWidth="1"/>
    <col min="1545" max="1545" width="12.00390625" style="1" customWidth="1"/>
    <col min="1546" max="1546" width="10.28125" style="1" customWidth="1"/>
    <col min="1547" max="1547" width="12.00390625" style="1" customWidth="1"/>
    <col min="1548" max="1548" width="12.28125" style="1" customWidth="1"/>
    <col min="1549" max="1549" width="11.7109375" style="1" customWidth="1"/>
    <col min="1550" max="1560" width="12.140625" style="1" customWidth="1"/>
    <col min="1561" max="1610" width="12.140625" style="1" hidden="1" customWidth="1"/>
    <col min="1611" max="1792" width="12.140625" style="1" customWidth="1"/>
    <col min="1793" max="1793" width="4.00390625" style="1" customWidth="1"/>
    <col min="1794" max="1794" width="14.28125" style="1" customWidth="1"/>
    <col min="1795" max="1795" width="62.421875" style="1" customWidth="1"/>
    <col min="1796" max="1796" width="15.8515625" style="1" customWidth="1"/>
    <col min="1797" max="1797" width="10.8515625" style="1" customWidth="1"/>
    <col min="1798" max="1798" width="75.57421875" style="1" customWidth="1"/>
    <col min="1799" max="1799" width="5.8515625" style="1" customWidth="1"/>
    <col min="1800" max="1800" width="11.28125" style="1" customWidth="1"/>
    <col min="1801" max="1801" width="12.00390625" style="1" customWidth="1"/>
    <col min="1802" max="1802" width="10.28125" style="1" customWidth="1"/>
    <col min="1803" max="1803" width="12.00390625" style="1" customWidth="1"/>
    <col min="1804" max="1804" width="12.28125" style="1" customWidth="1"/>
    <col min="1805" max="1805" width="11.7109375" style="1" customWidth="1"/>
    <col min="1806" max="1816" width="12.140625" style="1" customWidth="1"/>
    <col min="1817" max="1866" width="12.140625" style="1" hidden="1" customWidth="1"/>
    <col min="1867" max="2048" width="12.140625" style="1" customWidth="1"/>
    <col min="2049" max="2049" width="4.00390625" style="1" customWidth="1"/>
    <col min="2050" max="2050" width="14.28125" style="1" customWidth="1"/>
    <col min="2051" max="2051" width="62.421875" style="1" customWidth="1"/>
    <col min="2052" max="2052" width="15.8515625" style="1" customWidth="1"/>
    <col min="2053" max="2053" width="10.8515625" style="1" customWidth="1"/>
    <col min="2054" max="2054" width="75.57421875" style="1" customWidth="1"/>
    <col min="2055" max="2055" width="5.8515625" style="1" customWidth="1"/>
    <col min="2056" max="2056" width="11.28125" style="1" customWidth="1"/>
    <col min="2057" max="2057" width="12.00390625" style="1" customWidth="1"/>
    <col min="2058" max="2058" width="10.28125" style="1" customWidth="1"/>
    <col min="2059" max="2059" width="12.00390625" style="1" customWidth="1"/>
    <col min="2060" max="2060" width="12.28125" style="1" customWidth="1"/>
    <col min="2061" max="2061" width="11.7109375" style="1" customWidth="1"/>
    <col min="2062" max="2072" width="12.140625" style="1" customWidth="1"/>
    <col min="2073" max="2122" width="12.140625" style="1" hidden="1" customWidth="1"/>
    <col min="2123" max="2304" width="12.140625" style="1" customWidth="1"/>
    <col min="2305" max="2305" width="4.00390625" style="1" customWidth="1"/>
    <col min="2306" max="2306" width="14.28125" style="1" customWidth="1"/>
    <col min="2307" max="2307" width="62.421875" style="1" customWidth="1"/>
    <col min="2308" max="2308" width="15.8515625" style="1" customWidth="1"/>
    <col min="2309" max="2309" width="10.8515625" style="1" customWidth="1"/>
    <col min="2310" max="2310" width="75.57421875" style="1" customWidth="1"/>
    <col min="2311" max="2311" width="5.8515625" style="1" customWidth="1"/>
    <col min="2312" max="2312" width="11.28125" style="1" customWidth="1"/>
    <col min="2313" max="2313" width="12.00390625" style="1" customWidth="1"/>
    <col min="2314" max="2314" width="10.28125" style="1" customWidth="1"/>
    <col min="2315" max="2315" width="12.00390625" style="1" customWidth="1"/>
    <col min="2316" max="2316" width="12.28125" style="1" customWidth="1"/>
    <col min="2317" max="2317" width="11.7109375" style="1" customWidth="1"/>
    <col min="2318" max="2328" width="12.140625" style="1" customWidth="1"/>
    <col min="2329" max="2378" width="12.140625" style="1" hidden="1" customWidth="1"/>
    <col min="2379" max="2560" width="12.140625" style="1" customWidth="1"/>
    <col min="2561" max="2561" width="4.00390625" style="1" customWidth="1"/>
    <col min="2562" max="2562" width="14.28125" style="1" customWidth="1"/>
    <col min="2563" max="2563" width="62.421875" style="1" customWidth="1"/>
    <col min="2564" max="2564" width="15.8515625" style="1" customWidth="1"/>
    <col min="2565" max="2565" width="10.8515625" style="1" customWidth="1"/>
    <col min="2566" max="2566" width="75.57421875" style="1" customWidth="1"/>
    <col min="2567" max="2567" width="5.8515625" style="1" customWidth="1"/>
    <col min="2568" max="2568" width="11.28125" style="1" customWidth="1"/>
    <col min="2569" max="2569" width="12.00390625" style="1" customWidth="1"/>
    <col min="2570" max="2570" width="10.28125" style="1" customWidth="1"/>
    <col min="2571" max="2571" width="12.00390625" style="1" customWidth="1"/>
    <col min="2572" max="2572" width="12.28125" style="1" customWidth="1"/>
    <col min="2573" max="2573" width="11.7109375" style="1" customWidth="1"/>
    <col min="2574" max="2584" width="12.140625" style="1" customWidth="1"/>
    <col min="2585" max="2634" width="12.140625" style="1" hidden="1" customWidth="1"/>
    <col min="2635" max="2816" width="12.140625" style="1" customWidth="1"/>
    <col min="2817" max="2817" width="4.00390625" style="1" customWidth="1"/>
    <col min="2818" max="2818" width="14.28125" style="1" customWidth="1"/>
    <col min="2819" max="2819" width="62.421875" style="1" customWidth="1"/>
    <col min="2820" max="2820" width="15.8515625" style="1" customWidth="1"/>
    <col min="2821" max="2821" width="10.8515625" style="1" customWidth="1"/>
    <col min="2822" max="2822" width="75.57421875" style="1" customWidth="1"/>
    <col min="2823" max="2823" width="5.8515625" style="1" customWidth="1"/>
    <col min="2824" max="2824" width="11.28125" style="1" customWidth="1"/>
    <col min="2825" max="2825" width="12.00390625" style="1" customWidth="1"/>
    <col min="2826" max="2826" width="10.28125" style="1" customWidth="1"/>
    <col min="2827" max="2827" width="12.00390625" style="1" customWidth="1"/>
    <col min="2828" max="2828" width="12.28125" style="1" customWidth="1"/>
    <col min="2829" max="2829" width="11.7109375" style="1" customWidth="1"/>
    <col min="2830" max="2840" width="12.140625" style="1" customWidth="1"/>
    <col min="2841" max="2890" width="12.140625" style="1" hidden="1" customWidth="1"/>
    <col min="2891" max="3072" width="12.140625" style="1" customWidth="1"/>
    <col min="3073" max="3073" width="4.00390625" style="1" customWidth="1"/>
    <col min="3074" max="3074" width="14.28125" style="1" customWidth="1"/>
    <col min="3075" max="3075" width="62.421875" style="1" customWidth="1"/>
    <col min="3076" max="3076" width="15.8515625" style="1" customWidth="1"/>
    <col min="3077" max="3077" width="10.8515625" style="1" customWidth="1"/>
    <col min="3078" max="3078" width="75.57421875" style="1" customWidth="1"/>
    <col min="3079" max="3079" width="5.8515625" style="1" customWidth="1"/>
    <col min="3080" max="3080" width="11.28125" style="1" customWidth="1"/>
    <col min="3081" max="3081" width="12.00390625" style="1" customWidth="1"/>
    <col min="3082" max="3082" width="10.28125" style="1" customWidth="1"/>
    <col min="3083" max="3083" width="12.00390625" style="1" customWidth="1"/>
    <col min="3084" max="3084" width="12.28125" style="1" customWidth="1"/>
    <col min="3085" max="3085" width="11.7109375" style="1" customWidth="1"/>
    <col min="3086" max="3096" width="12.140625" style="1" customWidth="1"/>
    <col min="3097" max="3146" width="12.140625" style="1" hidden="1" customWidth="1"/>
    <col min="3147" max="3328" width="12.140625" style="1" customWidth="1"/>
    <col min="3329" max="3329" width="4.00390625" style="1" customWidth="1"/>
    <col min="3330" max="3330" width="14.28125" style="1" customWidth="1"/>
    <col min="3331" max="3331" width="62.421875" style="1" customWidth="1"/>
    <col min="3332" max="3332" width="15.8515625" style="1" customWidth="1"/>
    <col min="3333" max="3333" width="10.8515625" style="1" customWidth="1"/>
    <col min="3334" max="3334" width="75.57421875" style="1" customWidth="1"/>
    <col min="3335" max="3335" width="5.8515625" style="1" customWidth="1"/>
    <col min="3336" max="3336" width="11.28125" style="1" customWidth="1"/>
    <col min="3337" max="3337" width="12.00390625" style="1" customWidth="1"/>
    <col min="3338" max="3338" width="10.28125" style="1" customWidth="1"/>
    <col min="3339" max="3339" width="12.00390625" style="1" customWidth="1"/>
    <col min="3340" max="3340" width="12.28125" style="1" customWidth="1"/>
    <col min="3341" max="3341" width="11.7109375" style="1" customWidth="1"/>
    <col min="3342" max="3352" width="12.140625" style="1" customWidth="1"/>
    <col min="3353" max="3402" width="12.140625" style="1" hidden="1" customWidth="1"/>
    <col min="3403" max="3584" width="12.140625" style="1" customWidth="1"/>
    <col min="3585" max="3585" width="4.00390625" style="1" customWidth="1"/>
    <col min="3586" max="3586" width="14.28125" style="1" customWidth="1"/>
    <col min="3587" max="3587" width="62.421875" style="1" customWidth="1"/>
    <col min="3588" max="3588" width="15.8515625" style="1" customWidth="1"/>
    <col min="3589" max="3589" width="10.8515625" style="1" customWidth="1"/>
    <col min="3590" max="3590" width="75.57421875" style="1" customWidth="1"/>
    <col min="3591" max="3591" width="5.8515625" style="1" customWidth="1"/>
    <col min="3592" max="3592" width="11.28125" style="1" customWidth="1"/>
    <col min="3593" max="3593" width="12.00390625" style="1" customWidth="1"/>
    <col min="3594" max="3594" width="10.28125" style="1" customWidth="1"/>
    <col min="3595" max="3595" width="12.00390625" style="1" customWidth="1"/>
    <col min="3596" max="3596" width="12.28125" style="1" customWidth="1"/>
    <col min="3597" max="3597" width="11.7109375" style="1" customWidth="1"/>
    <col min="3598" max="3608" width="12.140625" style="1" customWidth="1"/>
    <col min="3609" max="3658" width="12.140625" style="1" hidden="1" customWidth="1"/>
    <col min="3659" max="3840" width="12.140625" style="1" customWidth="1"/>
    <col min="3841" max="3841" width="4.00390625" style="1" customWidth="1"/>
    <col min="3842" max="3842" width="14.28125" style="1" customWidth="1"/>
    <col min="3843" max="3843" width="62.421875" style="1" customWidth="1"/>
    <col min="3844" max="3844" width="15.8515625" style="1" customWidth="1"/>
    <col min="3845" max="3845" width="10.8515625" style="1" customWidth="1"/>
    <col min="3846" max="3846" width="75.57421875" style="1" customWidth="1"/>
    <col min="3847" max="3847" width="5.8515625" style="1" customWidth="1"/>
    <col min="3848" max="3848" width="11.28125" style="1" customWidth="1"/>
    <col min="3849" max="3849" width="12.00390625" style="1" customWidth="1"/>
    <col min="3850" max="3850" width="10.28125" style="1" customWidth="1"/>
    <col min="3851" max="3851" width="12.00390625" style="1" customWidth="1"/>
    <col min="3852" max="3852" width="12.28125" style="1" customWidth="1"/>
    <col min="3853" max="3853" width="11.7109375" style="1" customWidth="1"/>
    <col min="3854" max="3864" width="12.140625" style="1" customWidth="1"/>
    <col min="3865" max="3914" width="12.140625" style="1" hidden="1" customWidth="1"/>
    <col min="3915" max="4096" width="12.140625" style="1" customWidth="1"/>
    <col min="4097" max="4097" width="4.00390625" style="1" customWidth="1"/>
    <col min="4098" max="4098" width="14.28125" style="1" customWidth="1"/>
    <col min="4099" max="4099" width="62.421875" style="1" customWidth="1"/>
    <col min="4100" max="4100" width="15.8515625" style="1" customWidth="1"/>
    <col min="4101" max="4101" width="10.8515625" style="1" customWidth="1"/>
    <col min="4102" max="4102" width="75.57421875" style="1" customWidth="1"/>
    <col min="4103" max="4103" width="5.8515625" style="1" customWidth="1"/>
    <col min="4104" max="4104" width="11.28125" style="1" customWidth="1"/>
    <col min="4105" max="4105" width="12.00390625" style="1" customWidth="1"/>
    <col min="4106" max="4106" width="10.28125" style="1" customWidth="1"/>
    <col min="4107" max="4107" width="12.00390625" style="1" customWidth="1"/>
    <col min="4108" max="4108" width="12.28125" style="1" customWidth="1"/>
    <col min="4109" max="4109" width="11.7109375" style="1" customWidth="1"/>
    <col min="4110" max="4120" width="12.140625" style="1" customWidth="1"/>
    <col min="4121" max="4170" width="12.140625" style="1" hidden="1" customWidth="1"/>
    <col min="4171" max="4352" width="12.140625" style="1" customWidth="1"/>
    <col min="4353" max="4353" width="4.00390625" style="1" customWidth="1"/>
    <col min="4354" max="4354" width="14.28125" style="1" customWidth="1"/>
    <col min="4355" max="4355" width="62.421875" style="1" customWidth="1"/>
    <col min="4356" max="4356" width="15.8515625" style="1" customWidth="1"/>
    <col min="4357" max="4357" width="10.8515625" style="1" customWidth="1"/>
    <col min="4358" max="4358" width="75.57421875" style="1" customWidth="1"/>
    <col min="4359" max="4359" width="5.8515625" style="1" customWidth="1"/>
    <col min="4360" max="4360" width="11.28125" style="1" customWidth="1"/>
    <col min="4361" max="4361" width="12.00390625" style="1" customWidth="1"/>
    <col min="4362" max="4362" width="10.28125" style="1" customWidth="1"/>
    <col min="4363" max="4363" width="12.00390625" style="1" customWidth="1"/>
    <col min="4364" max="4364" width="12.28125" style="1" customWidth="1"/>
    <col min="4365" max="4365" width="11.7109375" style="1" customWidth="1"/>
    <col min="4366" max="4376" width="12.140625" style="1" customWidth="1"/>
    <col min="4377" max="4426" width="12.140625" style="1" hidden="1" customWidth="1"/>
    <col min="4427" max="4608" width="12.140625" style="1" customWidth="1"/>
    <col min="4609" max="4609" width="4.00390625" style="1" customWidth="1"/>
    <col min="4610" max="4610" width="14.28125" style="1" customWidth="1"/>
    <col min="4611" max="4611" width="62.421875" style="1" customWidth="1"/>
    <col min="4612" max="4612" width="15.8515625" style="1" customWidth="1"/>
    <col min="4613" max="4613" width="10.8515625" style="1" customWidth="1"/>
    <col min="4614" max="4614" width="75.57421875" style="1" customWidth="1"/>
    <col min="4615" max="4615" width="5.8515625" style="1" customWidth="1"/>
    <col min="4616" max="4616" width="11.28125" style="1" customWidth="1"/>
    <col min="4617" max="4617" width="12.00390625" style="1" customWidth="1"/>
    <col min="4618" max="4618" width="10.28125" style="1" customWidth="1"/>
    <col min="4619" max="4619" width="12.00390625" style="1" customWidth="1"/>
    <col min="4620" max="4620" width="12.28125" style="1" customWidth="1"/>
    <col min="4621" max="4621" width="11.7109375" style="1" customWidth="1"/>
    <col min="4622" max="4632" width="12.140625" style="1" customWidth="1"/>
    <col min="4633" max="4682" width="12.140625" style="1" hidden="1" customWidth="1"/>
    <col min="4683" max="4864" width="12.140625" style="1" customWidth="1"/>
    <col min="4865" max="4865" width="4.00390625" style="1" customWidth="1"/>
    <col min="4866" max="4866" width="14.28125" style="1" customWidth="1"/>
    <col min="4867" max="4867" width="62.421875" style="1" customWidth="1"/>
    <col min="4868" max="4868" width="15.8515625" style="1" customWidth="1"/>
    <col min="4869" max="4869" width="10.8515625" style="1" customWidth="1"/>
    <col min="4870" max="4870" width="75.57421875" style="1" customWidth="1"/>
    <col min="4871" max="4871" width="5.8515625" style="1" customWidth="1"/>
    <col min="4872" max="4872" width="11.28125" style="1" customWidth="1"/>
    <col min="4873" max="4873" width="12.00390625" style="1" customWidth="1"/>
    <col min="4874" max="4874" width="10.28125" style="1" customWidth="1"/>
    <col min="4875" max="4875" width="12.00390625" style="1" customWidth="1"/>
    <col min="4876" max="4876" width="12.28125" style="1" customWidth="1"/>
    <col min="4877" max="4877" width="11.7109375" style="1" customWidth="1"/>
    <col min="4878" max="4888" width="12.140625" style="1" customWidth="1"/>
    <col min="4889" max="4938" width="12.140625" style="1" hidden="1" customWidth="1"/>
    <col min="4939" max="5120" width="12.140625" style="1" customWidth="1"/>
    <col min="5121" max="5121" width="4.00390625" style="1" customWidth="1"/>
    <col min="5122" max="5122" width="14.28125" style="1" customWidth="1"/>
    <col min="5123" max="5123" width="62.421875" style="1" customWidth="1"/>
    <col min="5124" max="5124" width="15.8515625" style="1" customWidth="1"/>
    <col min="5125" max="5125" width="10.8515625" style="1" customWidth="1"/>
    <col min="5126" max="5126" width="75.57421875" style="1" customWidth="1"/>
    <col min="5127" max="5127" width="5.8515625" style="1" customWidth="1"/>
    <col min="5128" max="5128" width="11.28125" style="1" customWidth="1"/>
    <col min="5129" max="5129" width="12.00390625" style="1" customWidth="1"/>
    <col min="5130" max="5130" width="10.28125" style="1" customWidth="1"/>
    <col min="5131" max="5131" width="12.00390625" style="1" customWidth="1"/>
    <col min="5132" max="5132" width="12.28125" style="1" customWidth="1"/>
    <col min="5133" max="5133" width="11.7109375" style="1" customWidth="1"/>
    <col min="5134" max="5144" width="12.140625" style="1" customWidth="1"/>
    <col min="5145" max="5194" width="12.140625" style="1" hidden="1" customWidth="1"/>
    <col min="5195" max="5376" width="12.140625" style="1" customWidth="1"/>
    <col min="5377" max="5377" width="4.00390625" style="1" customWidth="1"/>
    <col min="5378" max="5378" width="14.28125" style="1" customWidth="1"/>
    <col min="5379" max="5379" width="62.421875" style="1" customWidth="1"/>
    <col min="5380" max="5380" width="15.8515625" style="1" customWidth="1"/>
    <col min="5381" max="5381" width="10.8515625" style="1" customWidth="1"/>
    <col min="5382" max="5382" width="75.57421875" style="1" customWidth="1"/>
    <col min="5383" max="5383" width="5.8515625" style="1" customWidth="1"/>
    <col min="5384" max="5384" width="11.28125" style="1" customWidth="1"/>
    <col min="5385" max="5385" width="12.00390625" style="1" customWidth="1"/>
    <col min="5386" max="5386" width="10.28125" style="1" customWidth="1"/>
    <col min="5387" max="5387" width="12.00390625" style="1" customWidth="1"/>
    <col min="5388" max="5388" width="12.28125" style="1" customWidth="1"/>
    <col min="5389" max="5389" width="11.7109375" style="1" customWidth="1"/>
    <col min="5390" max="5400" width="12.140625" style="1" customWidth="1"/>
    <col min="5401" max="5450" width="12.140625" style="1" hidden="1" customWidth="1"/>
    <col min="5451" max="5632" width="12.140625" style="1" customWidth="1"/>
    <col min="5633" max="5633" width="4.00390625" style="1" customWidth="1"/>
    <col min="5634" max="5634" width="14.28125" style="1" customWidth="1"/>
    <col min="5635" max="5635" width="62.421875" style="1" customWidth="1"/>
    <col min="5636" max="5636" width="15.8515625" style="1" customWidth="1"/>
    <col min="5637" max="5637" width="10.8515625" style="1" customWidth="1"/>
    <col min="5638" max="5638" width="75.57421875" style="1" customWidth="1"/>
    <col min="5639" max="5639" width="5.8515625" style="1" customWidth="1"/>
    <col min="5640" max="5640" width="11.28125" style="1" customWidth="1"/>
    <col min="5641" max="5641" width="12.00390625" style="1" customWidth="1"/>
    <col min="5642" max="5642" width="10.28125" style="1" customWidth="1"/>
    <col min="5643" max="5643" width="12.00390625" style="1" customWidth="1"/>
    <col min="5644" max="5644" width="12.28125" style="1" customWidth="1"/>
    <col min="5645" max="5645" width="11.7109375" style="1" customWidth="1"/>
    <col min="5646" max="5656" width="12.140625" style="1" customWidth="1"/>
    <col min="5657" max="5706" width="12.140625" style="1" hidden="1" customWidth="1"/>
    <col min="5707" max="5888" width="12.140625" style="1" customWidth="1"/>
    <col min="5889" max="5889" width="4.00390625" style="1" customWidth="1"/>
    <col min="5890" max="5890" width="14.28125" style="1" customWidth="1"/>
    <col min="5891" max="5891" width="62.421875" style="1" customWidth="1"/>
    <col min="5892" max="5892" width="15.8515625" style="1" customWidth="1"/>
    <col min="5893" max="5893" width="10.8515625" style="1" customWidth="1"/>
    <col min="5894" max="5894" width="75.57421875" style="1" customWidth="1"/>
    <col min="5895" max="5895" width="5.8515625" style="1" customWidth="1"/>
    <col min="5896" max="5896" width="11.28125" style="1" customWidth="1"/>
    <col min="5897" max="5897" width="12.00390625" style="1" customWidth="1"/>
    <col min="5898" max="5898" width="10.28125" style="1" customWidth="1"/>
    <col min="5899" max="5899" width="12.00390625" style="1" customWidth="1"/>
    <col min="5900" max="5900" width="12.28125" style="1" customWidth="1"/>
    <col min="5901" max="5901" width="11.7109375" style="1" customWidth="1"/>
    <col min="5902" max="5912" width="12.140625" style="1" customWidth="1"/>
    <col min="5913" max="5962" width="12.140625" style="1" hidden="1" customWidth="1"/>
    <col min="5963" max="6144" width="12.140625" style="1" customWidth="1"/>
    <col min="6145" max="6145" width="4.00390625" style="1" customWidth="1"/>
    <col min="6146" max="6146" width="14.28125" style="1" customWidth="1"/>
    <col min="6147" max="6147" width="62.421875" style="1" customWidth="1"/>
    <col min="6148" max="6148" width="15.8515625" style="1" customWidth="1"/>
    <col min="6149" max="6149" width="10.8515625" style="1" customWidth="1"/>
    <col min="6150" max="6150" width="75.57421875" style="1" customWidth="1"/>
    <col min="6151" max="6151" width="5.8515625" style="1" customWidth="1"/>
    <col min="6152" max="6152" width="11.28125" style="1" customWidth="1"/>
    <col min="6153" max="6153" width="12.00390625" style="1" customWidth="1"/>
    <col min="6154" max="6154" width="10.28125" style="1" customWidth="1"/>
    <col min="6155" max="6155" width="12.00390625" style="1" customWidth="1"/>
    <col min="6156" max="6156" width="12.28125" style="1" customWidth="1"/>
    <col min="6157" max="6157" width="11.7109375" style="1" customWidth="1"/>
    <col min="6158" max="6168" width="12.140625" style="1" customWidth="1"/>
    <col min="6169" max="6218" width="12.140625" style="1" hidden="1" customWidth="1"/>
    <col min="6219" max="6400" width="12.140625" style="1" customWidth="1"/>
    <col min="6401" max="6401" width="4.00390625" style="1" customWidth="1"/>
    <col min="6402" max="6402" width="14.28125" style="1" customWidth="1"/>
    <col min="6403" max="6403" width="62.421875" style="1" customWidth="1"/>
    <col min="6404" max="6404" width="15.8515625" style="1" customWidth="1"/>
    <col min="6405" max="6405" width="10.8515625" style="1" customWidth="1"/>
    <col min="6406" max="6406" width="75.57421875" style="1" customWidth="1"/>
    <col min="6407" max="6407" width="5.8515625" style="1" customWidth="1"/>
    <col min="6408" max="6408" width="11.28125" style="1" customWidth="1"/>
    <col min="6409" max="6409" width="12.00390625" style="1" customWidth="1"/>
    <col min="6410" max="6410" width="10.28125" style="1" customWidth="1"/>
    <col min="6411" max="6411" width="12.00390625" style="1" customWidth="1"/>
    <col min="6412" max="6412" width="12.28125" style="1" customWidth="1"/>
    <col min="6413" max="6413" width="11.7109375" style="1" customWidth="1"/>
    <col min="6414" max="6424" width="12.140625" style="1" customWidth="1"/>
    <col min="6425" max="6474" width="12.140625" style="1" hidden="1" customWidth="1"/>
    <col min="6475" max="6656" width="12.140625" style="1" customWidth="1"/>
    <col min="6657" max="6657" width="4.00390625" style="1" customWidth="1"/>
    <col min="6658" max="6658" width="14.28125" style="1" customWidth="1"/>
    <col min="6659" max="6659" width="62.421875" style="1" customWidth="1"/>
    <col min="6660" max="6660" width="15.8515625" style="1" customWidth="1"/>
    <col min="6661" max="6661" width="10.8515625" style="1" customWidth="1"/>
    <col min="6662" max="6662" width="75.57421875" style="1" customWidth="1"/>
    <col min="6663" max="6663" width="5.8515625" style="1" customWidth="1"/>
    <col min="6664" max="6664" width="11.28125" style="1" customWidth="1"/>
    <col min="6665" max="6665" width="12.00390625" style="1" customWidth="1"/>
    <col min="6666" max="6666" width="10.28125" style="1" customWidth="1"/>
    <col min="6667" max="6667" width="12.00390625" style="1" customWidth="1"/>
    <col min="6668" max="6668" width="12.28125" style="1" customWidth="1"/>
    <col min="6669" max="6669" width="11.7109375" style="1" customWidth="1"/>
    <col min="6670" max="6680" width="12.140625" style="1" customWidth="1"/>
    <col min="6681" max="6730" width="12.140625" style="1" hidden="1" customWidth="1"/>
    <col min="6731" max="6912" width="12.140625" style="1" customWidth="1"/>
    <col min="6913" max="6913" width="4.00390625" style="1" customWidth="1"/>
    <col min="6914" max="6914" width="14.28125" style="1" customWidth="1"/>
    <col min="6915" max="6915" width="62.421875" style="1" customWidth="1"/>
    <col min="6916" max="6916" width="15.8515625" style="1" customWidth="1"/>
    <col min="6917" max="6917" width="10.8515625" style="1" customWidth="1"/>
    <col min="6918" max="6918" width="75.57421875" style="1" customWidth="1"/>
    <col min="6919" max="6919" width="5.8515625" style="1" customWidth="1"/>
    <col min="6920" max="6920" width="11.28125" style="1" customWidth="1"/>
    <col min="6921" max="6921" width="12.00390625" style="1" customWidth="1"/>
    <col min="6922" max="6922" width="10.28125" style="1" customWidth="1"/>
    <col min="6923" max="6923" width="12.00390625" style="1" customWidth="1"/>
    <col min="6924" max="6924" width="12.28125" style="1" customWidth="1"/>
    <col min="6925" max="6925" width="11.7109375" style="1" customWidth="1"/>
    <col min="6926" max="6936" width="12.140625" style="1" customWidth="1"/>
    <col min="6937" max="6986" width="12.140625" style="1" hidden="1" customWidth="1"/>
    <col min="6987" max="7168" width="12.140625" style="1" customWidth="1"/>
    <col min="7169" max="7169" width="4.00390625" style="1" customWidth="1"/>
    <col min="7170" max="7170" width="14.28125" style="1" customWidth="1"/>
    <col min="7171" max="7171" width="62.421875" style="1" customWidth="1"/>
    <col min="7172" max="7172" width="15.8515625" style="1" customWidth="1"/>
    <col min="7173" max="7173" width="10.8515625" style="1" customWidth="1"/>
    <col min="7174" max="7174" width="75.57421875" style="1" customWidth="1"/>
    <col min="7175" max="7175" width="5.8515625" style="1" customWidth="1"/>
    <col min="7176" max="7176" width="11.28125" style="1" customWidth="1"/>
    <col min="7177" max="7177" width="12.00390625" style="1" customWidth="1"/>
    <col min="7178" max="7178" width="10.28125" style="1" customWidth="1"/>
    <col min="7179" max="7179" width="12.00390625" style="1" customWidth="1"/>
    <col min="7180" max="7180" width="12.28125" style="1" customWidth="1"/>
    <col min="7181" max="7181" width="11.7109375" style="1" customWidth="1"/>
    <col min="7182" max="7192" width="12.140625" style="1" customWidth="1"/>
    <col min="7193" max="7242" width="12.140625" style="1" hidden="1" customWidth="1"/>
    <col min="7243" max="7424" width="12.140625" style="1" customWidth="1"/>
    <col min="7425" max="7425" width="4.00390625" style="1" customWidth="1"/>
    <col min="7426" max="7426" width="14.28125" style="1" customWidth="1"/>
    <col min="7427" max="7427" width="62.421875" style="1" customWidth="1"/>
    <col min="7428" max="7428" width="15.8515625" style="1" customWidth="1"/>
    <col min="7429" max="7429" width="10.8515625" style="1" customWidth="1"/>
    <col min="7430" max="7430" width="75.57421875" style="1" customWidth="1"/>
    <col min="7431" max="7431" width="5.8515625" style="1" customWidth="1"/>
    <col min="7432" max="7432" width="11.28125" style="1" customWidth="1"/>
    <col min="7433" max="7433" width="12.00390625" style="1" customWidth="1"/>
    <col min="7434" max="7434" width="10.28125" style="1" customWidth="1"/>
    <col min="7435" max="7435" width="12.00390625" style="1" customWidth="1"/>
    <col min="7436" max="7436" width="12.28125" style="1" customWidth="1"/>
    <col min="7437" max="7437" width="11.7109375" style="1" customWidth="1"/>
    <col min="7438" max="7448" width="12.140625" style="1" customWidth="1"/>
    <col min="7449" max="7498" width="12.140625" style="1" hidden="1" customWidth="1"/>
    <col min="7499" max="7680" width="12.140625" style="1" customWidth="1"/>
    <col min="7681" max="7681" width="4.00390625" style="1" customWidth="1"/>
    <col min="7682" max="7682" width="14.28125" style="1" customWidth="1"/>
    <col min="7683" max="7683" width="62.421875" style="1" customWidth="1"/>
    <col min="7684" max="7684" width="15.8515625" style="1" customWidth="1"/>
    <col min="7685" max="7685" width="10.8515625" style="1" customWidth="1"/>
    <col min="7686" max="7686" width="75.57421875" style="1" customWidth="1"/>
    <col min="7687" max="7687" width="5.8515625" style="1" customWidth="1"/>
    <col min="7688" max="7688" width="11.28125" style="1" customWidth="1"/>
    <col min="7689" max="7689" width="12.00390625" style="1" customWidth="1"/>
    <col min="7690" max="7690" width="10.28125" style="1" customWidth="1"/>
    <col min="7691" max="7691" width="12.00390625" style="1" customWidth="1"/>
    <col min="7692" max="7692" width="12.28125" style="1" customWidth="1"/>
    <col min="7693" max="7693" width="11.7109375" style="1" customWidth="1"/>
    <col min="7694" max="7704" width="12.140625" style="1" customWidth="1"/>
    <col min="7705" max="7754" width="12.140625" style="1" hidden="1" customWidth="1"/>
    <col min="7755" max="7936" width="12.140625" style="1" customWidth="1"/>
    <col min="7937" max="7937" width="4.00390625" style="1" customWidth="1"/>
    <col min="7938" max="7938" width="14.28125" style="1" customWidth="1"/>
    <col min="7939" max="7939" width="62.421875" style="1" customWidth="1"/>
    <col min="7940" max="7940" width="15.8515625" style="1" customWidth="1"/>
    <col min="7941" max="7941" width="10.8515625" style="1" customWidth="1"/>
    <col min="7942" max="7942" width="75.57421875" style="1" customWidth="1"/>
    <col min="7943" max="7943" width="5.8515625" style="1" customWidth="1"/>
    <col min="7944" max="7944" width="11.28125" style="1" customWidth="1"/>
    <col min="7945" max="7945" width="12.00390625" style="1" customWidth="1"/>
    <col min="7946" max="7946" width="10.28125" style="1" customWidth="1"/>
    <col min="7947" max="7947" width="12.00390625" style="1" customWidth="1"/>
    <col min="7948" max="7948" width="12.28125" style="1" customWidth="1"/>
    <col min="7949" max="7949" width="11.7109375" style="1" customWidth="1"/>
    <col min="7950" max="7960" width="12.140625" style="1" customWidth="1"/>
    <col min="7961" max="8010" width="12.140625" style="1" hidden="1" customWidth="1"/>
    <col min="8011" max="8192" width="12.140625" style="1" customWidth="1"/>
    <col min="8193" max="8193" width="4.00390625" style="1" customWidth="1"/>
    <col min="8194" max="8194" width="14.28125" style="1" customWidth="1"/>
    <col min="8195" max="8195" width="62.421875" style="1" customWidth="1"/>
    <col min="8196" max="8196" width="15.8515625" style="1" customWidth="1"/>
    <col min="8197" max="8197" width="10.8515625" style="1" customWidth="1"/>
    <col min="8198" max="8198" width="75.57421875" style="1" customWidth="1"/>
    <col min="8199" max="8199" width="5.8515625" style="1" customWidth="1"/>
    <col min="8200" max="8200" width="11.28125" style="1" customWidth="1"/>
    <col min="8201" max="8201" width="12.00390625" style="1" customWidth="1"/>
    <col min="8202" max="8202" width="10.28125" style="1" customWidth="1"/>
    <col min="8203" max="8203" width="12.00390625" style="1" customWidth="1"/>
    <col min="8204" max="8204" width="12.28125" style="1" customWidth="1"/>
    <col min="8205" max="8205" width="11.7109375" style="1" customWidth="1"/>
    <col min="8206" max="8216" width="12.140625" style="1" customWidth="1"/>
    <col min="8217" max="8266" width="12.140625" style="1" hidden="1" customWidth="1"/>
    <col min="8267" max="8448" width="12.140625" style="1" customWidth="1"/>
    <col min="8449" max="8449" width="4.00390625" style="1" customWidth="1"/>
    <col min="8450" max="8450" width="14.28125" style="1" customWidth="1"/>
    <col min="8451" max="8451" width="62.421875" style="1" customWidth="1"/>
    <col min="8452" max="8452" width="15.8515625" style="1" customWidth="1"/>
    <col min="8453" max="8453" width="10.8515625" style="1" customWidth="1"/>
    <col min="8454" max="8454" width="75.57421875" style="1" customWidth="1"/>
    <col min="8455" max="8455" width="5.8515625" style="1" customWidth="1"/>
    <col min="8456" max="8456" width="11.28125" style="1" customWidth="1"/>
    <col min="8457" max="8457" width="12.00390625" style="1" customWidth="1"/>
    <col min="8458" max="8458" width="10.28125" style="1" customWidth="1"/>
    <col min="8459" max="8459" width="12.00390625" style="1" customWidth="1"/>
    <col min="8460" max="8460" width="12.28125" style="1" customWidth="1"/>
    <col min="8461" max="8461" width="11.7109375" style="1" customWidth="1"/>
    <col min="8462" max="8472" width="12.140625" style="1" customWidth="1"/>
    <col min="8473" max="8522" width="12.140625" style="1" hidden="1" customWidth="1"/>
    <col min="8523" max="8704" width="12.140625" style="1" customWidth="1"/>
    <col min="8705" max="8705" width="4.00390625" style="1" customWidth="1"/>
    <col min="8706" max="8706" width="14.28125" style="1" customWidth="1"/>
    <col min="8707" max="8707" width="62.421875" style="1" customWidth="1"/>
    <col min="8708" max="8708" width="15.8515625" style="1" customWidth="1"/>
    <col min="8709" max="8709" width="10.8515625" style="1" customWidth="1"/>
    <col min="8710" max="8710" width="75.57421875" style="1" customWidth="1"/>
    <col min="8711" max="8711" width="5.8515625" style="1" customWidth="1"/>
    <col min="8712" max="8712" width="11.28125" style="1" customWidth="1"/>
    <col min="8713" max="8713" width="12.00390625" style="1" customWidth="1"/>
    <col min="8714" max="8714" width="10.28125" style="1" customWidth="1"/>
    <col min="8715" max="8715" width="12.00390625" style="1" customWidth="1"/>
    <col min="8716" max="8716" width="12.28125" style="1" customWidth="1"/>
    <col min="8717" max="8717" width="11.7109375" style="1" customWidth="1"/>
    <col min="8718" max="8728" width="12.140625" style="1" customWidth="1"/>
    <col min="8729" max="8778" width="12.140625" style="1" hidden="1" customWidth="1"/>
    <col min="8779" max="8960" width="12.140625" style="1" customWidth="1"/>
    <col min="8961" max="8961" width="4.00390625" style="1" customWidth="1"/>
    <col min="8962" max="8962" width="14.28125" style="1" customWidth="1"/>
    <col min="8963" max="8963" width="62.421875" style="1" customWidth="1"/>
    <col min="8964" max="8964" width="15.8515625" style="1" customWidth="1"/>
    <col min="8965" max="8965" width="10.8515625" style="1" customWidth="1"/>
    <col min="8966" max="8966" width="75.57421875" style="1" customWidth="1"/>
    <col min="8967" max="8967" width="5.8515625" style="1" customWidth="1"/>
    <col min="8968" max="8968" width="11.28125" style="1" customWidth="1"/>
    <col min="8969" max="8969" width="12.00390625" style="1" customWidth="1"/>
    <col min="8970" max="8970" width="10.28125" style="1" customWidth="1"/>
    <col min="8971" max="8971" width="12.00390625" style="1" customWidth="1"/>
    <col min="8972" max="8972" width="12.28125" style="1" customWidth="1"/>
    <col min="8973" max="8973" width="11.7109375" style="1" customWidth="1"/>
    <col min="8974" max="8984" width="12.140625" style="1" customWidth="1"/>
    <col min="8985" max="9034" width="12.140625" style="1" hidden="1" customWidth="1"/>
    <col min="9035" max="9216" width="12.140625" style="1" customWidth="1"/>
    <col min="9217" max="9217" width="4.00390625" style="1" customWidth="1"/>
    <col min="9218" max="9218" width="14.28125" style="1" customWidth="1"/>
    <col min="9219" max="9219" width="62.421875" style="1" customWidth="1"/>
    <col min="9220" max="9220" width="15.8515625" style="1" customWidth="1"/>
    <col min="9221" max="9221" width="10.8515625" style="1" customWidth="1"/>
    <col min="9222" max="9222" width="75.57421875" style="1" customWidth="1"/>
    <col min="9223" max="9223" width="5.8515625" style="1" customWidth="1"/>
    <col min="9224" max="9224" width="11.28125" style="1" customWidth="1"/>
    <col min="9225" max="9225" width="12.00390625" style="1" customWidth="1"/>
    <col min="9226" max="9226" width="10.28125" style="1" customWidth="1"/>
    <col min="9227" max="9227" width="12.00390625" style="1" customWidth="1"/>
    <col min="9228" max="9228" width="12.28125" style="1" customWidth="1"/>
    <col min="9229" max="9229" width="11.7109375" style="1" customWidth="1"/>
    <col min="9230" max="9240" width="12.140625" style="1" customWidth="1"/>
    <col min="9241" max="9290" width="12.140625" style="1" hidden="1" customWidth="1"/>
    <col min="9291" max="9472" width="12.140625" style="1" customWidth="1"/>
    <col min="9473" max="9473" width="4.00390625" style="1" customWidth="1"/>
    <col min="9474" max="9474" width="14.28125" style="1" customWidth="1"/>
    <col min="9475" max="9475" width="62.421875" style="1" customWidth="1"/>
    <col min="9476" max="9476" width="15.8515625" style="1" customWidth="1"/>
    <col min="9477" max="9477" width="10.8515625" style="1" customWidth="1"/>
    <col min="9478" max="9478" width="75.57421875" style="1" customWidth="1"/>
    <col min="9479" max="9479" width="5.8515625" style="1" customWidth="1"/>
    <col min="9480" max="9480" width="11.28125" style="1" customWidth="1"/>
    <col min="9481" max="9481" width="12.00390625" style="1" customWidth="1"/>
    <col min="9482" max="9482" width="10.28125" style="1" customWidth="1"/>
    <col min="9483" max="9483" width="12.00390625" style="1" customWidth="1"/>
    <col min="9484" max="9484" width="12.28125" style="1" customWidth="1"/>
    <col min="9485" max="9485" width="11.7109375" style="1" customWidth="1"/>
    <col min="9486" max="9496" width="12.140625" style="1" customWidth="1"/>
    <col min="9497" max="9546" width="12.140625" style="1" hidden="1" customWidth="1"/>
    <col min="9547" max="9728" width="12.140625" style="1" customWidth="1"/>
    <col min="9729" max="9729" width="4.00390625" style="1" customWidth="1"/>
    <col min="9730" max="9730" width="14.28125" style="1" customWidth="1"/>
    <col min="9731" max="9731" width="62.421875" style="1" customWidth="1"/>
    <col min="9732" max="9732" width="15.8515625" style="1" customWidth="1"/>
    <col min="9733" max="9733" width="10.8515625" style="1" customWidth="1"/>
    <col min="9734" max="9734" width="75.57421875" style="1" customWidth="1"/>
    <col min="9735" max="9735" width="5.8515625" style="1" customWidth="1"/>
    <col min="9736" max="9736" width="11.28125" style="1" customWidth="1"/>
    <col min="9737" max="9737" width="12.00390625" style="1" customWidth="1"/>
    <col min="9738" max="9738" width="10.28125" style="1" customWidth="1"/>
    <col min="9739" max="9739" width="12.00390625" style="1" customWidth="1"/>
    <col min="9740" max="9740" width="12.28125" style="1" customWidth="1"/>
    <col min="9741" max="9741" width="11.7109375" style="1" customWidth="1"/>
    <col min="9742" max="9752" width="12.140625" style="1" customWidth="1"/>
    <col min="9753" max="9802" width="12.140625" style="1" hidden="1" customWidth="1"/>
    <col min="9803" max="9984" width="12.140625" style="1" customWidth="1"/>
    <col min="9985" max="9985" width="4.00390625" style="1" customWidth="1"/>
    <col min="9986" max="9986" width="14.28125" style="1" customWidth="1"/>
    <col min="9987" max="9987" width="62.421875" style="1" customWidth="1"/>
    <col min="9988" max="9988" width="15.8515625" style="1" customWidth="1"/>
    <col min="9989" max="9989" width="10.8515625" style="1" customWidth="1"/>
    <col min="9990" max="9990" width="75.57421875" style="1" customWidth="1"/>
    <col min="9991" max="9991" width="5.8515625" style="1" customWidth="1"/>
    <col min="9992" max="9992" width="11.28125" style="1" customWidth="1"/>
    <col min="9993" max="9993" width="12.00390625" style="1" customWidth="1"/>
    <col min="9994" max="9994" width="10.28125" style="1" customWidth="1"/>
    <col min="9995" max="9995" width="12.00390625" style="1" customWidth="1"/>
    <col min="9996" max="9996" width="12.28125" style="1" customWidth="1"/>
    <col min="9997" max="9997" width="11.7109375" style="1" customWidth="1"/>
    <col min="9998" max="10008" width="12.140625" style="1" customWidth="1"/>
    <col min="10009" max="10058" width="12.140625" style="1" hidden="1" customWidth="1"/>
    <col min="10059" max="10240" width="12.140625" style="1" customWidth="1"/>
    <col min="10241" max="10241" width="4.00390625" style="1" customWidth="1"/>
    <col min="10242" max="10242" width="14.28125" style="1" customWidth="1"/>
    <col min="10243" max="10243" width="62.421875" style="1" customWidth="1"/>
    <col min="10244" max="10244" width="15.8515625" style="1" customWidth="1"/>
    <col min="10245" max="10245" width="10.8515625" style="1" customWidth="1"/>
    <col min="10246" max="10246" width="75.57421875" style="1" customWidth="1"/>
    <col min="10247" max="10247" width="5.8515625" style="1" customWidth="1"/>
    <col min="10248" max="10248" width="11.28125" style="1" customWidth="1"/>
    <col min="10249" max="10249" width="12.00390625" style="1" customWidth="1"/>
    <col min="10250" max="10250" width="10.28125" style="1" customWidth="1"/>
    <col min="10251" max="10251" width="12.00390625" style="1" customWidth="1"/>
    <col min="10252" max="10252" width="12.28125" style="1" customWidth="1"/>
    <col min="10253" max="10253" width="11.7109375" style="1" customWidth="1"/>
    <col min="10254" max="10264" width="12.140625" style="1" customWidth="1"/>
    <col min="10265" max="10314" width="12.140625" style="1" hidden="1" customWidth="1"/>
    <col min="10315" max="10496" width="12.140625" style="1" customWidth="1"/>
    <col min="10497" max="10497" width="4.00390625" style="1" customWidth="1"/>
    <col min="10498" max="10498" width="14.28125" style="1" customWidth="1"/>
    <col min="10499" max="10499" width="62.421875" style="1" customWidth="1"/>
    <col min="10500" max="10500" width="15.8515625" style="1" customWidth="1"/>
    <col min="10501" max="10501" width="10.8515625" style="1" customWidth="1"/>
    <col min="10502" max="10502" width="75.57421875" style="1" customWidth="1"/>
    <col min="10503" max="10503" width="5.8515625" style="1" customWidth="1"/>
    <col min="10504" max="10504" width="11.28125" style="1" customWidth="1"/>
    <col min="10505" max="10505" width="12.00390625" style="1" customWidth="1"/>
    <col min="10506" max="10506" width="10.28125" style="1" customWidth="1"/>
    <col min="10507" max="10507" width="12.00390625" style="1" customWidth="1"/>
    <col min="10508" max="10508" width="12.28125" style="1" customWidth="1"/>
    <col min="10509" max="10509" width="11.7109375" style="1" customWidth="1"/>
    <col min="10510" max="10520" width="12.140625" style="1" customWidth="1"/>
    <col min="10521" max="10570" width="12.140625" style="1" hidden="1" customWidth="1"/>
    <col min="10571" max="10752" width="12.140625" style="1" customWidth="1"/>
    <col min="10753" max="10753" width="4.00390625" style="1" customWidth="1"/>
    <col min="10754" max="10754" width="14.28125" style="1" customWidth="1"/>
    <col min="10755" max="10755" width="62.421875" style="1" customWidth="1"/>
    <col min="10756" max="10756" width="15.8515625" style="1" customWidth="1"/>
    <col min="10757" max="10757" width="10.8515625" style="1" customWidth="1"/>
    <col min="10758" max="10758" width="75.57421875" style="1" customWidth="1"/>
    <col min="10759" max="10759" width="5.8515625" style="1" customWidth="1"/>
    <col min="10760" max="10760" width="11.28125" style="1" customWidth="1"/>
    <col min="10761" max="10761" width="12.00390625" style="1" customWidth="1"/>
    <col min="10762" max="10762" width="10.28125" style="1" customWidth="1"/>
    <col min="10763" max="10763" width="12.00390625" style="1" customWidth="1"/>
    <col min="10764" max="10764" width="12.28125" style="1" customWidth="1"/>
    <col min="10765" max="10765" width="11.7109375" style="1" customWidth="1"/>
    <col min="10766" max="10776" width="12.140625" style="1" customWidth="1"/>
    <col min="10777" max="10826" width="12.140625" style="1" hidden="1" customWidth="1"/>
    <col min="10827" max="11008" width="12.140625" style="1" customWidth="1"/>
    <col min="11009" max="11009" width="4.00390625" style="1" customWidth="1"/>
    <col min="11010" max="11010" width="14.28125" style="1" customWidth="1"/>
    <col min="11011" max="11011" width="62.421875" style="1" customWidth="1"/>
    <col min="11012" max="11012" width="15.8515625" style="1" customWidth="1"/>
    <col min="11013" max="11013" width="10.8515625" style="1" customWidth="1"/>
    <col min="11014" max="11014" width="75.57421875" style="1" customWidth="1"/>
    <col min="11015" max="11015" width="5.8515625" style="1" customWidth="1"/>
    <col min="11016" max="11016" width="11.28125" style="1" customWidth="1"/>
    <col min="11017" max="11017" width="12.00390625" style="1" customWidth="1"/>
    <col min="11018" max="11018" width="10.28125" style="1" customWidth="1"/>
    <col min="11019" max="11019" width="12.00390625" style="1" customWidth="1"/>
    <col min="11020" max="11020" width="12.28125" style="1" customWidth="1"/>
    <col min="11021" max="11021" width="11.7109375" style="1" customWidth="1"/>
    <col min="11022" max="11032" width="12.140625" style="1" customWidth="1"/>
    <col min="11033" max="11082" width="12.140625" style="1" hidden="1" customWidth="1"/>
    <col min="11083" max="11264" width="12.140625" style="1" customWidth="1"/>
    <col min="11265" max="11265" width="4.00390625" style="1" customWidth="1"/>
    <col min="11266" max="11266" width="14.28125" style="1" customWidth="1"/>
    <col min="11267" max="11267" width="62.421875" style="1" customWidth="1"/>
    <col min="11268" max="11268" width="15.8515625" style="1" customWidth="1"/>
    <col min="11269" max="11269" width="10.8515625" style="1" customWidth="1"/>
    <col min="11270" max="11270" width="75.57421875" style="1" customWidth="1"/>
    <col min="11271" max="11271" width="5.8515625" style="1" customWidth="1"/>
    <col min="11272" max="11272" width="11.28125" style="1" customWidth="1"/>
    <col min="11273" max="11273" width="12.00390625" style="1" customWidth="1"/>
    <col min="11274" max="11274" width="10.28125" style="1" customWidth="1"/>
    <col min="11275" max="11275" width="12.00390625" style="1" customWidth="1"/>
    <col min="11276" max="11276" width="12.28125" style="1" customWidth="1"/>
    <col min="11277" max="11277" width="11.7109375" style="1" customWidth="1"/>
    <col min="11278" max="11288" width="12.140625" style="1" customWidth="1"/>
    <col min="11289" max="11338" width="12.140625" style="1" hidden="1" customWidth="1"/>
    <col min="11339" max="11520" width="12.140625" style="1" customWidth="1"/>
    <col min="11521" max="11521" width="4.00390625" style="1" customWidth="1"/>
    <col min="11522" max="11522" width="14.28125" style="1" customWidth="1"/>
    <col min="11523" max="11523" width="62.421875" style="1" customWidth="1"/>
    <col min="11524" max="11524" width="15.8515625" style="1" customWidth="1"/>
    <col min="11525" max="11525" width="10.8515625" style="1" customWidth="1"/>
    <col min="11526" max="11526" width="75.57421875" style="1" customWidth="1"/>
    <col min="11527" max="11527" width="5.8515625" style="1" customWidth="1"/>
    <col min="11528" max="11528" width="11.28125" style="1" customWidth="1"/>
    <col min="11529" max="11529" width="12.00390625" style="1" customWidth="1"/>
    <col min="11530" max="11530" width="10.28125" style="1" customWidth="1"/>
    <col min="11531" max="11531" width="12.00390625" style="1" customWidth="1"/>
    <col min="11532" max="11532" width="12.28125" style="1" customWidth="1"/>
    <col min="11533" max="11533" width="11.7109375" style="1" customWidth="1"/>
    <col min="11534" max="11544" width="12.140625" style="1" customWidth="1"/>
    <col min="11545" max="11594" width="12.140625" style="1" hidden="1" customWidth="1"/>
    <col min="11595" max="11776" width="12.140625" style="1" customWidth="1"/>
    <col min="11777" max="11777" width="4.00390625" style="1" customWidth="1"/>
    <col min="11778" max="11778" width="14.28125" style="1" customWidth="1"/>
    <col min="11779" max="11779" width="62.421875" style="1" customWidth="1"/>
    <col min="11780" max="11780" width="15.8515625" style="1" customWidth="1"/>
    <col min="11781" max="11781" width="10.8515625" style="1" customWidth="1"/>
    <col min="11782" max="11782" width="75.57421875" style="1" customWidth="1"/>
    <col min="11783" max="11783" width="5.8515625" style="1" customWidth="1"/>
    <col min="11784" max="11784" width="11.28125" style="1" customWidth="1"/>
    <col min="11785" max="11785" width="12.00390625" style="1" customWidth="1"/>
    <col min="11786" max="11786" width="10.28125" style="1" customWidth="1"/>
    <col min="11787" max="11787" width="12.00390625" style="1" customWidth="1"/>
    <col min="11788" max="11788" width="12.28125" style="1" customWidth="1"/>
    <col min="11789" max="11789" width="11.7109375" style="1" customWidth="1"/>
    <col min="11790" max="11800" width="12.140625" style="1" customWidth="1"/>
    <col min="11801" max="11850" width="12.140625" style="1" hidden="1" customWidth="1"/>
    <col min="11851" max="12032" width="12.140625" style="1" customWidth="1"/>
    <col min="12033" max="12033" width="4.00390625" style="1" customWidth="1"/>
    <col min="12034" max="12034" width="14.28125" style="1" customWidth="1"/>
    <col min="12035" max="12035" width="62.421875" style="1" customWidth="1"/>
    <col min="12036" max="12036" width="15.8515625" style="1" customWidth="1"/>
    <col min="12037" max="12037" width="10.8515625" style="1" customWidth="1"/>
    <col min="12038" max="12038" width="75.57421875" style="1" customWidth="1"/>
    <col min="12039" max="12039" width="5.8515625" style="1" customWidth="1"/>
    <col min="12040" max="12040" width="11.28125" style="1" customWidth="1"/>
    <col min="12041" max="12041" width="12.00390625" style="1" customWidth="1"/>
    <col min="12042" max="12042" width="10.28125" style="1" customWidth="1"/>
    <col min="12043" max="12043" width="12.00390625" style="1" customWidth="1"/>
    <col min="12044" max="12044" width="12.28125" style="1" customWidth="1"/>
    <col min="12045" max="12045" width="11.7109375" style="1" customWidth="1"/>
    <col min="12046" max="12056" width="12.140625" style="1" customWidth="1"/>
    <col min="12057" max="12106" width="12.140625" style="1" hidden="1" customWidth="1"/>
    <col min="12107" max="12288" width="12.140625" style="1" customWidth="1"/>
    <col min="12289" max="12289" width="4.00390625" style="1" customWidth="1"/>
    <col min="12290" max="12290" width="14.28125" style="1" customWidth="1"/>
    <col min="12291" max="12291" width="62.421875" style="1" customWidth="1"/>
    <col min="12292" max="12292" width="15.8515625" style="1" customWidth="1"/>
    <col min="12293" max="12293" width="10.8515625" style="1" customWidth="1"/>
    <col min="12294" max="12294" width="75.57421875" style="1" customWidth="1"/>
    <col min="12295" max="12295" width="5.8515625" style="1" customWidth="1"/>
    <col min="12296" max="12296" width="11.28125" style="1" customWidth="1"/>
    <col min="12297" max="12297" width="12.00390625" style="1" customWidth="1"/>
    <col min="12298" max="12298" width="10.28125" style="1" customWidth="1"/>
    <col min="12299" max="12299" width="12.00390625" style="1" customWidth="1"/>
    <col min="12300" max="12300" width="12.28125" style="1" customWidth="1"/>
    <col min="12301" max="12301" width="11.7109375" style="1" customWidth="1"/>
    <col min="12302" max="12312" width="12.140625" style="1" customWidth="1"/>
    <col min="12313" max="12362" width="12.140625" style="1" hidden="1" customWidth="1"/>
    <col min="12363" max="12544" width="12.140625" style="1" customWidth="1"/>
    <col min="12545" max="12545" width="4.00390625" style="1" customWidth="1"/>
    <col min="12546" max="12546" width="14.28125" style="1" customWidth="1"/>
    <col min="12547" max="12547" width="62.421875" style="1" customWidth="1"/>
    <col min="12548" max="12548" width="15.8515625" style="1" customWidth="1"/>
    <col min="12549" max="12549" width="10.8515625" style="1" customWidth="1"/>
    <col min="12550" max="12550" width="75.57421875" style="1" customWidth="1"/>
    <col min="12551" max="12551" width="5.8515625" style="1" customWidth="1"/>
    <col min="12552" max="12552" width="11.28125" style="1" customWidth="1"/>
    <col min="12553" max="12553" width="12.00390625" style="1" customWidth="1"/>
    <col min="12554" max="12554" width="10.28125" style="1" customWidth="1"/>
    <col min="12555" max="12555" width="12.00390625" style="1" customWidth="1"/>
    <col min="12556" max="12556" width="12.28125" style="1" customWidth="1"/>
    <col min="12557" max="12557" width="11.7109375" style="1" customWidth="1"/>
    <col min="12558" max="12568" width="12.140625" style="1" customWidth="1"/>
    <col min="12569" max="12618" width="12.140625" style="1" hidden="1" customWidth="1"/>
    <col min="12619" max="12800" width="12.140625" style="1" customWidth="1"/>
    <col min="12801" max="12801" width="4.00390625" style="1" customWidth="1"/>
    <col min="12802" max="12802" width="14.28125" style="1" customWidth="1"/>
    <col min="12803" max="12803" width="62.421875" style="1" customWidth="1"/>
    <col min="12804" max="12804" width="15.8515625" style="1" customWidth="1"/>
    <col min="12805" max="12805" width="10.8515625" style="1" customWidth="1"/>
    <col min="12806" max="12806" width="75.57421875" style="1" customWidth="1"/>
    <col min="12807" max="12807" width="5.8515625" style="1" customWidth="1"/>
    <col min="12808" max="12808" width="11.28125" style="1" customWidth="1"/>
    <col min="12809" max="12809" width="12.00390625" style="1" customWidth="1"/>
    <col min="12810" max="12810" width="10.28125" style="1" customWidth="1"/>
    <col min="12811" max="12811" width="12.00390625" style="1" customWidth="1"/>
    <col min="12812" max="12812" width="12.28125" style="1" customWidth="1"/>
    <col min="12813" max="12813" width="11.7109375" style="1" customWidth="1"/>
    <col min="12814" max="12824" width="12.140625" style="1" customWidth="1"/>
    <col min="12825" max="12874" width="12.140625" style="1" hidden="1" customWidth="1"/>
    <col min="12875" max="13056" width="12.140625" style="1" customWidth="1"/>
    <col min="13057" max="13057" width="4.00390625" style="1" customWidth="1"/>
    <col min="13058" max="13058" width="14.28125" style="1" customWidth="1"/>
    <col min="13059" max="13059" width="62.421875" style="1" customWidth="1"/>
    <col min="13060" max="13060" width="15.8515625" style="1" customWidth="1"/>
    <col min="13061" max="13061" width="10.8515625" style="1" customWidth="1"/>
    <col min="13062" max="13062" width="75.57421875" style="1" customWidth="1"/>
    <col min="13063" max="13063" width="5.8515625" style="1" customWidth="1"/>
    <col min="13064" max="13064" width="11.28125" style="1" customWidth="1"/>
    <col min="13065" max="13065" width="12.00390625" style="1" customWidth="1"/>
    <col min="13066" max="13066" width="10.28125" style="1" customWidth="1"/>
    <col min="13067" max="13067" width="12.00390625" style="1" customWidth="1"/>
    <col min="13068" max="13068" width="12.28125" style="1" customWidth="1"/>
    <col min="13069" max="13069" width="11.7109375" style="1" customWidth="1"/>
    <col min="13070" max="13080" width="12.140625" style="1" customWidth="1"/>
    <col min="13081" max="13130" width="12.140625" style="1" hidden="1" customWidth="1"/>
    <col min="13131" max="13312" width="12.140625" style="1" customWidth="1"/>
    <col min="13313" max="13313" width="4.00390625" style="1" customWidth="1"/>
    <col min="13314" max="13314" width="14.28125" style="1" customWidth="1"/>
    <col min="13315" max="13315" width="62.421875" style="1" customWidth="1"/>
    <col min="13316" max="13316" width="15.8515625" style="1" customWidth="1"/>
    <col min="13317" max="13317" width="10.8515625" style="1" customWidth="1"/>
    <col min="13318" max="13318" width="75.57421875" style="1" customWidth="1"/>
    <col min="13319" max="13319" width="5.8515625" style="1" customWidth="1"/>
    <col min="13320" max="13320" width="11.28125" style="1" customWidth="1"/>
    <col min="13321" max="13321" width="12.00390625" style="1" customWidth="1"/>
    <col min="13322" max="13322" width="10.28125" style="1" customWidth="1"/>
    <col min="13323" max="13323" width="12.00390625" style="1" customWidth="1"/>
    <col min="13324" max="13324" width="12.28125" style="1" customWidth="1"/>
    <col min="13325" max="13325" width="11.7109375" style="1" customWidth="1"/>
    <col min="13326" max="13336" width="12.140625" style="1" customWidth="1"/>
    <col min="13337" max="13386" width="12.140625" style="1" hidden="1" customWidth="1"/>
    <col min="13387" max="13568" width="12.140625" style="1" customWidth="1"/>
    <col min="13569" max="13569" width="4.00390625" style="1" customWidth="1"/>
    <col min="13570" max="13570" width="14.28125" style="1" customWidth="1"/>
    <col min="13571" max="13571" width="62.421875" style="1" customWidth="1"/>
    <col min="13572" max="13572" width="15.8515625" style="1" customWidth="1"/>
    <col min="13573" max="13573" width="10.8515625" style="1" customWidth="1"/>
    <col min="13574" max="13574" width="75.57421875" style="1" customWidth="1"/>
    <col min="13575" max="13575" width="5.8515625" style="1" customWidth="1"/>
    <col min="13576" max="13576" width="11.28125" style="1" customWidth="1"/>
    <col min="13577" max="13577" width="12.00390625" style="1" customWidth="1"/>
    <col min="13578" max="13578" width="10.28125" style="1" customWidth="1"/>
    <col min="13579" max="13579" width="12.00390625" style="1" customWidth="1"/>
    <col min="13580" max="13580" width="12.28125" style="1" customWidth="1"/>
    <col min="13581" max="13581" width="11.7109375" style="1" customWidth="1"/>
    <col min="13582" max="13592" width="12.140625" style="1" customWidth="1"/>
    <col min="13593" max="13642" width="12.140625" style="1" hidden="1" customWidth="1"/>
    <col min="13643" max="13824" width="12.140625" style="1" customWidth="1"/>
    <col min="13825" max="13825" width="4.00390625" style="1" customWidth="1"/>
    <col min="13826" max="13826" width="14.28125" style="1" customWidth="1"/>
    <col min="13827" max="13827" width="62.421875" style="1" customWidth="1"/>
    <col min="13828" max="13828" width="15.8515625" style="1" customWidth="1"/>
    <col min="13829" max="13829" width="10.8515625" style="1" customWidth="1"/>
    <col min="13830" max="13830" width="75.57421875" style="1" customWidth="1"/>
    <col min="13831" max="13831" width="5.8515625" style="1" customWidth="1"/>
    <col min="13832" max="13832" width="11.28125" style="1" customWidth="1"/>
    <col min="13833" max="13833" width="12.00390625" style="1" customWidth="1"/>
    <col min="13834" max="13834" width="10.28125" style="1" customWidth="1"/>
    <col min="13835" max="13835" width="12.00390625" style="1" customWidth="1"/>
    <col min="13836" max="13836" width="12.28125" style="1" customWidth="1"/>
    <col min="13837" max="13837" width="11.7109375" style="1" customWidth="1"/>
    <col min="13838" max="13848" width="12.140625" style="1" customWidth="1"/>
    <col min="13849" max="13898" width="12.140625" style="1" hidden="1" customWidth="1"/>
    <col min="13899" max="14080" width="12.140625" style="1" customWidth="1"/>
    <col min="14081" max="14081" width="4.00390625" style="1" customWidth="1"/>
    <col min="14082" max="14082" width="14.28125" style="1" customWidth="1"/>
    <col min="14083" max="14083" width="62.421875" style="1" customWidth="1"/>
    <col min="14084" max="14084" width="15.8515625" style="1" customWidth="1"/>
    <col min="14085" max="14085" width="10.8515625" style="1" customWidth="1"/>
    <col min="14086" max="14086" width="75.57421875" style="1" customWidth="1"/>
    <col min="14087" max="14087" width="5.8515625" style="1" customWidth="1"/>
    <col min="14088" max="14088" width="11.28125" style="1" customWidth="1"/>
    <col min="14089" max="14089" width="12.00390625" style="1" customWidth="1"/>
    <col min="14090" max="14090" width="10.28125" style="1" customWidth="1"/>
    <col min="14091" max="14091" width="12.00390625" style="1" customWidth="1"/>
    <col min="14092" max="14092" width="12.28125" style="1" customWidth="1"/>
    <col min="14093" max="14093" width="11.7109375" style="1" customWidth="1"/>
    <col min="14094" max="14104" width="12.140625" style="1" customWidth="1"/>
    <col min="14105" max="14154" width="12.140625" style="1" hidden="1" customWidth="1"/>
    <col min="14155" max="14336" width="12.140625" style="1" customWidth="1"/>
    <col min="14337" max="14337" width="4.00390625" style="1" customWidth="1"/>
    <col min="14338" max="14338" width="14.28125" style="1" customWidth="1"/>
    <col min="14339" max="14339" width="62.421875" style="1" customWidth="1"/>
    <col min="14340" max="14340" width="15.8515625" style="1" customWidth="1"/>
    <col min="14341" max="14341" width="10.8515625" style="1" customWidth="1"/>
    <col min="14342" max="14342" width="75.57421875" style="1" customWidth="1"/>
    <col min="14343" max="14343" width="5.8515625" style="1" customWidth="1"/>
    <col min="14344" max="14344" width="11.28125" style="1" customWidth="1"/>
    <col min="14345" max="14345" width="12.00390625" style="1" customWidth="1"/>
    <col min="14346" max="14346" width="10.28125" style="1" customWidth="1"/>
    <col min="14347" max="14347" width="12.00390625" style="1" customWidth="1"/>
    <col min="14348" max="14348" width="12.28125" style="1" customWidth="1"/>
    <col min="14349" max="14349" width="11.7109375" style="1" customWidth="1"/>
    <col min="14350" max="14360" width="12.140625" style="1" customWidth="1"/>
    <col min="14361" max="14410" width="12.140625" style="1" hidden="1" customWidth="1"/>
    <col min="14411" max="14592" width="12.140625" style="1" customWidth="1"/>
    <col min="14593" max="14593" width="4.00390625" style="1" customWidth="1"/>
    <col min="14594" max="14594" width="14.28125" style="1" customWidth="1"/>
    <col min="14595" max="14595" width="62.421875" style="1" customWidth="1"/>
    <col min="14596" max="14596" width="15.8515625" style="1" customWidth="1"/>
    <col min="14597" max="14597" width="10.8515625" style="1" customWidth="1"/>
    <col min="14598" max="14598" width="75.57421875" style="1" customWidth="1"/>
    <col min="14599" max="14599" width="5.8515625" style="1" customWidth="1"/>
    <col min="14600" max="14600" width="11.28125" style="1" customWidth="1"/>
    <col min="14601" max="14601" width="12.00390625" style="1" customWidth="1"/>
    <col min="14602" max="14602" width="10.28125" style="1" customWidth="1"/>
    <col min="14603" max="14603" width="12.00390625" style="1" customWidth="1"/>
    <col min="14604" max="14604" width="12.28125" style="1" customWidth="1"/>
    <col min="14605" max="14605" width="11.7109375" style="1" customWidth="1"/>
    <col min="14606" max="14616" width="12.140625" style="1" customWidth="1"/>
    <col min="14617" max="14666" width="12.140625" style="1" hidden="1" customWidth="1"/>
    <col min="14667" max="14848" width="12.140625" style="1" customWidth="1"/>
    <col min="14849" max="14849" width="4.00390625" style="1" customWidth="1"/>
    <col min="14850" max="14850" width="14.28125" style="1" customWidth="1"/>
    <col min="14851" max="14851" width="62.421875" style="1" customWidth="1"/>
    <col min="14852" max="14852" width="15.8515625" style="1" customWidth="1"/>
    <col min="14853" max="14853" width="10.8515625" style="1" customWidth="1"/>
    <col min="14854" max="14854" width="75.57421875" style="1" customWidth="1"/>
    <col min="14855" max="14855" width="5.8515625" style="1" customWidth="1"/>
    <col min="14856" max="14856" width="11.28125" style="1" customWidth="1"/>
    <col min="14857" max="14857" width="12.00390625" style="1" customWidth="1"/>
    <col min="14858" max="14858" width="10.28125" style="1" customWidth="1"/>
    <col min="14859" max="14859" width="12.00390625" style="1" customWidth="1"/>
    <col min="14860" max="14860" width="12.28125" style="1" customWidth="1"/>
    <col min="14861" max="14861" width="11.7109375" style="1" customWidth="1"/>
    <col min="14862" max="14872" width="12.140625" style="1" customWidth="1"/>
    <col min="14873" max="14922" width="12.140625" style="1" hidden="1" customWidth="1"/>
    <col min="14923" max="15104" width="12.140625" style="1" customWidth="1"/>
    <col min="15105" max="15105" width="4.00390625" style="1" customWidth="1"/>
    <col min="15106" max="15106" width="14.28125" style="1" customWidth="1"/>
    <col min="15107" max="15107" width="62.421875" style="1" customWidth="1"/>
    <col min="15108" max="15108" width="15.8515625" style="1" customWidth="1"/>
    <col min="15109" max="15109" width="10.8515625" style="1" customWidth="1"/>
    <col min="15110" max="15110" width="75.57421875" style="1" customWidth="1"/>
    <col min="15111" max="15111" width="5.8515625" style="1" customWidth="1"/>
    <col min="15112" max="15112" width="11.28125" style="1" customWidth="1"/>
    <col min="15113" max="15113" width="12.00390625" style="1" customWidth="1"/>
    <col min="15114" max="15114" width="10.28125" style="1" customWidth="1"/>
    <col min="15115" max="15115" width="12.00390625" style="1" customWidth="1"/>
    <col min="15116" max="15116" width="12.28125" style="1" customWidth="1"/>
    <col min="15117" max="15117" width="11.7109375" style="1" customWidth="1"/>
    <col min="15118" max="15128" width="12.140625" style="1" customWidth="1"/>
    <col min="15129" max="15178" width="12.140625" style="1" hidden="1" customWidth="1"/>
    <col min="15179" max="15360" width="12.140625" style="1" customWidth="1"/>
    <col min="15361" max="15361" width="4.00390625" style="1" customWidth="1"/>
    <col min="15362" max="15362" width="14.28125" style="1" customWidth="1"/>
    <col min="15363" max="15363" width="62.421875" style="1" customWidth="1"/>
    <col min="15364" max="15364" width="15.8515625" style="1" customWidth="1"/>
    <col min="15365" max="15365" width="10.8515625" style="1" customWidth="1"/>
    <col min="15366" max="15366" width="75.57421875" style="1" customWidth="1"/>
    <col min="15367" max="15367" width="5.8515625" style="1" customWidth="1"/>
    <col min="15368" max="15368" width="11.28125" style="1" customWidth="1"/>
    <col min="15369" max="15369" width="12.00390625" style="1" customWidth="1"/>
    <col min="15370" max="15370" width="10.28125" style="1" customWidth="1"/>
    <col min="15371" max="15371" width="12.00390625" style="1" customWidth="1"/>
    <col min="15372" max="15372" width="12.28125" style="1" customWidth="1"/>
    <col min="15373" max="15373" width="11.7109375" style="1" customWidth="1"/>
    <col min="15374" max="15384" width="12.140625" style="1" customWidth="1"/>
    <col min="15385" max="15434" width="12.140625" style="1" hidden="1" customWidth="1"/>
    <col min="15435" max="15616" width="12.140625" style="1" customWidth="1"/>
    <col min="15617" max="15617" width="4.00390625" style="1" customWidth="1"/>
    <col min="15618" max="15618" width="14.28125" style="1" customWidth="1"/>
    <col min="15619" max="15619" width="62.421875" style="1" customWidth="1"/>
    <col min="15620" max="15620" width="15.8515625" style="1" customWidth="1"/>
    <col min="15621" max="15621" width="10.8515625" style="1" customWidth="1"/>
    <col min="15622" max="15622" width="75.57421875" style="1" customWidth="1"/>
    <col min="15623" max="15623" width="5.8515625" style="1" customWidth="1"/>
    <col min="15624" max="15624" width="11.28125" style="1" customWidth="1"/>
    <col min="15625" max="15625" width="12.00390625" style="1" customWidth="1"/>
    <col min="15626" max="15626" width="10.28125" style="1" customWidth="1"/>
    <col min="15627" max="15627" width="12.00390625" style="1" customWidth="1"/>
    <col min="15628" max="15628" width="12.28125" style="1" customWidth="1"/>
    <col min="15629" max="15629" width="11.7109375" style="1" customWidth="1"/>
    <col min="15630" max="15640" width="12.140625" style="1" customWidth="1"/>
    <col min="15641" max="15690" width="12.140625" style="1" hidden="1" customWidth="1"/>
    <col min="15691" max="15872" width="12.140625" style="1" customWidth="1"/>
    <col min="15873" max="15873" width="4.00390625" style="1" customWidth="1"/>
    <col min="15874" max="15874" width="14.28125" style="1" customWidth="1"/>
    <col min="15875" max="15875" width="62.421875" style="1" customWidth="1"/>
    <col min="15876" max="15876" width="15.8515625" style="1" customWidth="1"/>
    <col min="15877" max="15877" width="10.8515625" style="1" customWidth="1"/>
    <col min="15878" max="15878" width="75.57421875" style="1" customWidth="1"/>
    <col min="15879" max="15879" width="5.8515625" style="1" customWidth="1"/>
    <col min="15880" max="15880" width="11.28125" style="1" customWidth="1"/>
    <col min="15881" max="15881" width="12.00390625" style="1" customWidth="1"/>
    <col min="15882" max="15882" width="10.28125" style="1" customWidth="1"/>
    <col min="15883" max="15883" width="12.00390625" style="1" customWidth="1"/>
    <col min="15884" max="15884" width="12.28125" style="1" customWidth="1"/>
    <col min="15885" max="15885" width="11.7109375" style="1" customWidth="1"/>
    <col min="15886" max="15896" width="12.140625" style="1" customWidth="1"/>
    <col min="15897" max="15946" width="12.140625" style="1" hidden="1" customWidth="1"/>
    <col min="15947" max="16128" width="12.140625" style="1" customWidth="1"/>
    <col min="16129" max="16129" width="4.00390625" style="1" customWidth="1"/>
    <col min="16130" max="16130" width="14.28125" style="1" customWidth="1"/>
    <col min="16131" max="16131" width="62.421875" style="1" customWidth="1"/>
    <col min="16132" max="16132" width="15.8515625" style="1" customWidth="1"/>
    <col min="16133" max="16133" width="10.8515625" style="1" customWidth="1"/>
    <col min="16134" max="16134" width="75.57421875" style="1" customWidth="1"/>
    <col min="16135" max="16135" width="5.8515625" style="1" customWidth="1"/>
    <col min="16136" max="16136" width="11.28125" style="1" customWidth="1"/>
    <col min="16137" max="16137" width="12.00390625" style="1" customWidth="1"/>
    <col min="16138" max="16138" width="10.28125" style="1" customWidth="1"/>
    <col min="16139" max="16139" width="12.00390625" style="1" customWidth="1"/>
    <col min="16140" max="16140" width="12.28125" style="1" customWidth="1"/>
    <col min="16141" max="16141" width="11.7109375" style="1" customWidth="1"/>
    <col min="16142" max="16152" width="12.140625" style="1" customWidth="1"/>
    <col min="16153" max="16202" width="12.140625" style="1" hidden="1" customWidth="1"/>
    <col min="16203" max="16384" width="12.140625" style="1" customWidth="1"/>
  </cols>
  <sheetData>
    <row r="1" spans="1:13" ht="54.75" customHeight="1">
      <c r="A1" s="136" t="str">
        <f>C4</f>
        <v>SO 401 – Veřejné osvětlení ul. Hasskova a Martinské nám.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" customHeight="1">
      <c r="A2" s="137" t="s">
        <v>0</v>
      </c>
      <c r="B2" s="138"/>
      <c r="C2" s="139" t="s">
        <v>1</v>
      </c>
      <c r="D2" s="138" t="s">
        <v>2</v>
      </c>
      <c r="E2" s="138" t="s">
        <v>3</v>
      </c>
      <c r="F2" s="142" t="s">
        <v>4</v>
      </c>
      <c r="G2" s="142" t="s">
        <v>5</v>
      </c>
      <c r="H2" s="138"/>
      <c r="I2" s="138"/>
      <c r="J2" s="138"/>
      <c r="K2" s="138"/>
      <c r="L2" s="138"/>
      <c r="M2" s="143"/>
    </row>
    <row r="3" spans="1:13" ht="15" customHeight="1">
      <c r="A3" s="134"/>
      <c r="B3" s="115"/>
      <c r="C3" s="141"/>
      <c r="D3" s="115"/>
      <c r="E3" s="115"/>
      <c r="F3" s="115"/>
      <c r="G3" s="115"/>
      <c r="H3" s="115"/>
      <c r="I3" s="115"/>
      <c r="J3" s="115"/>
      <c r="K3" s="115"/>
      <c r="L3" s="115"/>
      <c r="M3" s="133"/>
    </row>
    <row r="4" spans="1:13" ht="15" customHeight="1">
      <c r="A4" s="129" t="s">
        <v>6</v>
      </c>
      <c r="B4" s="115"/>
      <c r="C4" s="114" t="s">
        <v>1281</v>
      </c>
      <c r="D4" s="115" t="s">
        <v>8</v>
      </c>
      <c r="E4" s="115"/>
      <c r="F4" s="114" t="s">
        <v>9</v>
      </c>
      <c r="G4" s="114" t="s">
        <v>1282</v>
      </c>
      <c r="H4" s="115"/>
      <c r="I4" s="115"/>
      <c r="J4" s="115"/>
      <c r="K4" s="115"/>
      <c r="L4" s="115"/>
      <c r="M4" s="133"/>
    </row>
    <row r="5" spans="1:13" ht="15" customHeight="1">
      <c r="A5" s="13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33"/>
    </row>
    <row r="6" spans="1:13" ht="15" customHeight="1">
      <c r="A6" s="129" t="s">
        <v>11</v>
      </c>
      <c r="B6" s="115"/>
      <c r="C6" s="114" t="s">
        <v>12</v>
      </c>
      <c r="D6" s="115" t="s">
        <v>13</v>
      </c>
      <c r="E6" s="115" t="s">
        <v>3</v>
      </c>
      <c r="F6" s="114" t="s">
        <v>14</v>
      </c>
      <c r="G6" s="115" t="s">
        <v>15</v>
      </c>
      <c r="H6" s="115"/>
      <c r="I6" s="115"/>
      <c r="J6" s="115"/>
      <c r="K6" s="115"/>
      <c r="L6" s="115"/>
      <c r="M6" s="133"/>
    </row>
    <row r="7" spans="1:13" ht="15" customHeight="1">
      <c r="A7" s="13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33"/>
    </row>
    <row r="8" spans="1:13" ht="15" customHeight="1">
      <c r="A8" s="129" t="s">
        <v>16</v>
      </c>
      <c r="B8" s="115"/>
      <c r="C8" s="114" t="s">
        <v>3</v>
      </c>
      <c r="D8" s="115" t="s">
        <v>17</v>
      </c>
      <c r="E8" s="115" t="s">
        <v>18</v>
      </c>
      <c r="F8" s="114" t="s">
        <v>19</v>
      </c>
      <c r="G8" s="114" t="s">
        <v>1280</v>
      </c>
      <c r="H8" s="115"/>
      <c r="I8" s="115"/>
      <c r="J8" s="115"/>
      <c r="K8" s="115"/>
      <c r="L8" s="115"/>
      <c r="M8" s="133"/>
    </row>
    <row r="9" spans="1:13" ht="15" customHeight="1" thickBot="1">
      <c r="A9" s="13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33"/>
    </row>
    <row r="10" spans="1:64" ht="15" customHeight="1">
      <c r="A10" s="5" t="s">
        <v>21</v>
      </c>
      <c r="B10" s="6" t="s">
        <v>22</v>
      </c>
      <c r="C10" s="145" t="s">
        <v>23</v>
      </c>
      <c r="D10" s="145"/>
      <c r="E10" s="145"/>
      <c r="F10" s="146"/>
      <c r="G10" s="6" t="s">
        <v>24</v>
      </c>
      <c r="H10" s="7" t="s">
        <v>25</v>
      </c>
      <c r="I10" s="8" t="s">
        <v>26</v>
      </c>
      <c r="J10" s="173" t="s">
        <v>27</v>
      </c>
      <c r="K10" s="174"/>
      <c r="L10" s="175"/>
      <c r="M10" s="9" t="s">
        <v>28</v>
      </c>
      <c r="BK10" s="10" t="s">
        <v>29</v>
      </c>
      <c r="BL10" s="11" t="s">
        <v>30</v>
      </c>
    </row>
    <row r="11" spans="1:62" ht="15" customHeight="1">
      <c r="A11" s="48" t="s">
        <v>3</v>
      </c>
      <c r="B11" s="4" t="s">
        <v>3</v>
      </c>
      <c r="C11" s="141" t="s">
        <v>31</v>
      </c>
      <c r="D11" s="141"/>
      <c r="E11" s="141"/>
      <c r="F11" s="176"/>
      <c r="G11" s="4" t="s">
        <v>3</v>
      </c>
      <c r="H11" s="4" t="s">
        <v>3</v>
      </c>
      <c r="I11" s="49" t="s">
        <v>32</v>
      </c>
      <c r="J11" s="50" t="s">
        <v>33</v>
      </c>
      <c r="K11" s="51" t="s">
        <v>34</v>
      </c>
      <c r="L11" s="52" t="s">
        <v>35</v>
      </c>
      <c r="M11" s="52" t="s">
        <v>36</v>
      </c>
      <c r="Z11" s="10" t="s">
        <v>37</v>
      </c>
      <c r="AA11" s="10" t="s">
        <v>38</v>
      </c>
      <c r="AB11" s="10" t="s">
        <v>39</v>
      </c>
      <c r="AC11" s="10" t="s">
        <v>40</v>
      </c>
      <c r="AD11" s="10" t="s">
        <v>41</v>
      </c>
      <c r="AE11" s="10" t="s">
        <v>42</v>
      </c>
      <c r="AF11" s="10" t="s">
        <v>43</v>
      </c>
      <c r="AG11" s="10" t="s">
        <v>44</v>
      </c>
      <c r="AH11" s="10" t="s">
        <v>45</v>
      </c>
      <c r="BH11" s="10" t="s">
        <v>46</v>
      </c>
      <c r="BI11" s="10" t="s">
        <v>47</v>
      </c>
      <c r="BJ11" s="10" t="s">
        <v>48</v>
      </c>
    </row>
    <row r="12" spans="1:47" ht="15" customHeight="1">
      <c r="A12" s="53" t="s">
        <v>49</v>
      </c>
      <c r="B12" s="54"/>
      <c r="C12" s="177" t="str">
        <f>C4</f>
        <v>SO 401 – Veřejné osvětlení ul. Hasskova a Martinské nám.</v>
      </c>
      <c r="D12" s="177"/>
      <c r="E12" s="177"/>
      <c r="F12" s="177"/>
      <c r="G12" s="55" t="s">
        <v>3</v>
      </c>
      <c r="H12" s="55" t="s">
        <v>3</v>
      </c>
      <c r="I12" s="55" t="s">
        <v>3</v>
      </c>
      <c r="J12" s="56">
        <f>SUM(J13:J13)</f>
        <v>0</v>
      </c>
      <c r="K12" s="56">
        <f>SUM(K13:K13)</f>
        <v>0</v>
      </c>
      <c r="L12" s="56">
        <f>L13</f>
        <v>0</v>
      </c>
      <c r="M12" s="57" t="s">
        <v>49</v>
      </c>
      <c r="AI12" s="10" t="s">
        <v>49</v>
      </c>
      <c r="AS12" s="19">
        <f>SUM(AJ13:AJ13)</f>
        <v>0</v>
      </c>
      <c r="AT12" s="19">
        <f>SUM(AK13:AK13)</f>
        <v>0</v>
      </c>
      <c r="AU12" s="19">
        <f>SUM(AL13:AL13)</f>
        <v>0</v>
      </c>
    </row>
    <row r="13" spans="1:64" ht="15" customHeight="1">
      <c r="A13" s="58" t="s">
        <v>52</v>
      </c>
      <c r="B13" s="3"/>
      <c r="C13" s="115" t="str">
        <f>C4</f>
        <v>SO 401 – Veřejné osvětlení ul. Hasskova a Martinské nám.</v>
      </c>
      <c r="D13" s="115"/>
      <c r="E13" s="115"/>
      <c r="F13" s="115"/>
      <c r="G13" s="3" t="s">
        <v>1185</v>
      </c>
      <c r="H13" s="20">
        <v>1</v>
      </c>
      <c r="I13" s="106"/>
      <c r="J13" s="20">
        <f>H13*AO13</f>
        <v>0</v>
      </c>
      <c r="K13" s="20">
        <f>H13*AP13</f>
        <v>0</v>
      </c>
      <c r="L13" s="20">
        <f>H13*I13</f>
        <v>0</v>
      </c>
      <c r="M13" s="59"/>
      <c r="Z13" s="20">
        <f>IF(AQ13="5",BJ13,0)</f>
        <v>0</v>
      </c>
      <c r="AB13" s="20">
        <f>IF(AQ13="1",BH13,0)</f>
        <v>0</v>
      </c>
      <c r="AC13" s="20">
        <f>IF(AQ13="1",BI13,0)</f>
        <v>0</v>
      </c>
      <c r="AD13" s="20">
        <f>IF(AQ13="7",BH13,0)</f>
        <v>0</v>
      </c>
      <c r="AE13" s="20">
        <f>IF(AQ13="7",BI13,0)</f>
        <v>0</v>
      </c>
      <c r="AF13" s="20">
        <f>IF(AQ13="2",BH13,0)</f>
        <v>0</v>
      </c>
      <c r="AG13" s="20">
        <f>IF(AQ13="2",BI13,0)</f>
        <v>0</v>
      </c>
      <c r="AH13" s="20">
        <f>IF(AQ13="0",BJ13,0)</f>
        <v>0</v>
      </c>
      <c r="AI13" s="10" t="s">
        <v>49</v>
      </c>
      <c r="AJ13" s="20">
        <f>IF(AN13=0,L13,0)</f>
        <v>0</v>
      </c>
      <c r="AK13" s="20">
        <f>IF(AN13=15,L13,0)</f>
        <v>0</v>
      </c>
      <c r="AL13" s="20">
        <f>IF(AN13=21,L13,0)</f>
        <v>0</v>
      </c>
      <c r="AN13" s="20">
        <v>21</v>
      </c>
      <c r="AO13" s="20">
        <f>I13*0</f>
        <v>0</v>
      </c>
      <c r="AP13" s="20">
        <f>I13*(1-0)</f>
        <v>0</v>
      </c>
      <c r="AQ13" s="21" t="s">
        <v>52</v>
      </c>
      <c r="AV13" s="20">
        <f>AW13+AX13</f>
        <v>0</v>
      </c>
      <c r="AW13" s="20">
        <f>H13*AO13</f>
        <v>0</v>
      </c>
      <c r="AX13" s="20">
        <f>H13*AP13</f>
        <v>0</v>
      </c>
      <c r="AY13" s="21" t="s">
        <v>56</v>
      </c>
      <c r="AZ13" s="21" t="s">
        <v>57</v>
      </c>
      <c r="BA13" s="10" t="s">
        <v>58</v>
      </c>
      <c r="BC13" s="20">
        <f>AW13+AX13</f>
        <v>0</v>
      </c>
      <c r="BD13" s="20">
        <f>I13/(100-BE13)*100</f>
        <v>0</v>
      </c>
      <c r="BE13" s="20">
        <v>0</v>
      </c>
      <c r="BF13" s="20">
        <f>13</f>
        <v>13</v>
      </c>
      <c r="BH13" s="20">
        <f>H13*AO13</f>
        <v>0</v>
      </c>
      <c r="BI13" s="20">
        <f>H13*AP13</f>
        <v>0</v>
      </c>
      <c r="BJ13" s="20">
        <f>H13*I13</f>
        <v>0</v>
      </c>
      <c r="BK13" s="20"/>
      <c r="BL13" s="20">
        <v>11</v>
      </c>
    </row>
    <row r="14" spans="1:13" ht="15" customHeight="1">
      <c r="A14" s="60"/>
      <c r="B14" s="61"/>
      <c r="C14" s="61"/>
      <c r="D14" s="61"/>
      <c r="E14" s="61"/>
      <c r="F14" s="61"/>
      <c r="G14" s="61"/>
      <c r="H14" s="61"/>
      <c r="I14" s="61"/>
      <c r="J14" s="172" t="s">
        <v>1081</v>
      </c>
      <c r="K14" s="172"/>
      <c r="L14" s="62">
        <f>L13</f>
        <v>0</v>
      </c>
      <c r="M14" s="63"/>
    </row>
  </sheetData>
  <sheetProtection algorithmName="SHA-512" hashValue="pPE5Rr1llDfRaJ/RYswpzrmsDClh0eRxRlXcLE6LyiyQ1LmuYXdw58P8Hq9pJ9esUGr7SYvvDRC/q4wiBh9vLg==" saltValue="fimVm8HJrqijg0Z3aU+U4w==" spinCount="100000" sheet="1" objects="1" scenarios="1"/>
  <mergeCells count="31">
    <mergeCell ref="G4:M5"/>
    <mergeCell ref="A1:M1"/>
    <mergeCell ref="A2:B3"/>
    <mergeCell ref="C2:C3"/>
    <mergeCell ref="D2:D3"/>
    <mergeCell ref="E2:E3"/>
    <mergeCell ref="F2:F3"/>
    <mergeCell ref="G2:M3"/>
    <mergeCell ref="A4:B5"/>
    <mergeCell ref="C4:C5"/>
    <mergeCell ref="D4:D5"/>
    <mergeCell ref="E4:E5"/>
    <mergeCell ref="F4:F5"/>
    <mergeCell ref="G8:M9"/>
    <mergeCell ref="A6:B7"/>
    <mergeCell ref="C6:C7"/>
    <mergeCell ref="D6:D7"/>
    <mergeCell ref="E6:E7"/>
    <mergeCell ref="F6:F7"/>
    <mergeCell ref="G6:M7"/>
    <mergeCell ref="A8:B9"/>
    <mergeCell ref="C8:C9"/>
    <mergeCell ref="D8:D9"/>
    <mergeCell ref="E8:E9"/>
    <mergeCell ref="F8:F9"/>
    <mergeCell ref="J14:K14"/>
    <mergeCell ref="C10:F10"/>
    <mergeCell ref="J10:L10"/>
    <mergeCell ref="C11:F11"/>
    <mergeCell ref="C12:F12"/>
    <mergeCell ref="C13:F1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"/>
  <sheetViews>
    <sheetView workbookViewId="0" topLeftCell="A1">
      <selection activeCell="C13" sqref="C13:F13"/>
    </sheetView>
  </sheetViews>
  <sheetFormatPr defaultColWidth="12.140625" defaultRowHeight="15"/>
  <cols>
    <col min="1" max="1" width="4.00390625" style="1" customWidth="1"/>
    <col min="2" max="2" width="14.28125" style="1" customWidth="1"/>
    <col min="3" max="3" width="62.421875" style="1" customWidth="1"/>
    <col min="4" max="4" width="15.8515625" style="1" customWidth="1"/>
    <col min="5" max="5" width="10.8515625" style="1" customWidth="1"/>
    <col min="6" max="6" width="75.57421875" style="1" customWidth="1"/>
    <col min="7" max="7" width="5.8515625" style="1" customWidth="1"/>
    <col min="8" max="8" width="11.28125" style="1" customWidth="1"/>
    <col min="9" max="9" width="12.00390625" style="1" customWidth="1"/>
    <col min="10" max="10" width="10.28125" style="1" customWidth="1"/>
    <col min="11" max="11" width="12.00390625" style="1" customWidth="1"/>
    <col min="12" max="12" width="12.28125" style="1" customWidth="1"/>
    <col min="13" max="13" width="11.7109375" style="1" customWidth="1"/>
    <col min="14" max="24" width="12.140625" style="1" customWidth="1"/>
    <col min="25" max="74" width="12.140625" style="1" hidden="1" customWidth="1"/>
    <col min="75" max="256" width="12.140625" style="1" customWidth="1"/>
    <col min="257" max="257" width="4.00390625" style="1" customWidth="1"/>
    <col min="258" max="258" width="14.28125" style="1" customWidth="1"/>
    <col min="259" max="259" width="62.421875" style="1" customWidth="1"/>
    <col min="260" max="260" width="15.8515625" style="1" customWidth="1"/>
    <col min="261" max="261" width="10.8515625" style="1" customWidth="1"/>
    <col min="262" max="262" width="75.57421875" style="1" customWidth="1"/>
    <col min="263" max="263" width="5.8515625" style="1" customWidth="1"/>
    <col min="264" max="264" width="11.28125" style="1" customWidth="1"/>
    <col min="265" max="265" width="12.00390625" style="1" customWidth="1"/>
    <col min="266" max="266" width="10.28125" style="1" customWidth="1"/>
    <col min="267" max="267" width="12.00390625" style="1" customWidth="1"/>
    <col min="268" max="268" width="12.28125" style="1" customWidth="1"/>
    <col min="269" max="269" width="11.7109375" style="1" customWidth="1"/>
    <col min="270" max="280" width="12.140625" style="1" customWidth="1"/>
    <col min="281" max="330" width="12.140625" style="1" hidden="1" customWidth="1"/>
    <col min="331" max="512" width="12.140625" style="1" customWidth="1"/>
    <col min="513" max="513" width="4.00390625" style="1" customWidth="1"/>
    <col min="514" max="514" width="14.28125" style="1" customWidth="1"/>
    <col min="515" max="515" width="62.421875" style="1" customWidth="1"/>
    <col min="516" max="516" width="15.8515625" style="1" customWidth="1"/>
    <col min="517" max="517" width="10.8515625" style="1" customWidth="1"/>
    <col min="518" max="518" width="75.57421875" style="1" customWidth="1"/>
    <col min="519" max="519" width="5.8515625" style="1" customWidth="1"/>
    <col min="520" max="520" width="11.28125" style="1" customWidth="1"/>
    <col min="521" max="521" width="12.00390625" style="1" customWidth="1"/>
    <col min="522" max="522" width="10.28125" style="1" customWidth="1"/>
    <col min="523" max="523" width="12.00390625" style="1" customWidth="1"/>
    <col min="524" max="524" width="12.28125" style="1" customWidth="1"/>
    <col min="525" max="525" width="11.7109375" style="1" customWidth="1"/>
    <col min="526" max="536" width="12.140625" style="1" customWidth="1"/>
    <col min="537" max="586" width="12.140625" style="1" hidden="1" customWidth="1"/>
    <col min="587" max="768" width="12.140625" style="1" customWidth="1"/>
    <col min="769" max="769" width="4.00390625" style="1" customWidth="1"/>
    <col min="770" max="770" width="14.28125" style="1" customWidth="1"/>
    <col min="771" max="771" width="62.421875" style="1" customWidth="1"/>
    <col min="772" max="772" width="15.8515625" style="1" customWidth="1"/>
    <col min="773" max="773" width="10.8515625" style="1" customWidth="1"/>
    <col min="774" max="774" width="75.57421875" style="1" customWidth="1"/>
    <col min="775" max="775" width="5.8515625" style="1" customWidth="1"/>
    <col min="776" max="776" width="11.28125" style="1" customWidth="1"/>
    <col min="777" max="777" width="12.00390625" style="1" customWidth="1"/>
    <col min="778" max="778" width="10.28125" style="1" customWidth="1"/>
    <col min="779" max="779" width="12.00390625" style="1" customWidth="1"/>
    <col min="780" max="780" width="12.28125" style="1" customWidth="1"/>
    <col min="781" max="781" width="11.7109375" style="1" customWidth="1"/>
    <col min="782" max="792" width="12.140625" style="1" customWidth="1"/>
    <col min="793" max="842" width="12.140625" style="1" hidden="1" customWidth="1"/>
    <col min="843" max="1024" width="12.140625" style="1" customWidth="1"/>
    <col min="1025" max="1025" width="4.00390625" style="1" customWidth="1"/>
    <col min="1026" max="1026" width="14.28125" style="1" customWidth="1"/>
    <col min="1027" max="1027" width="62.421875" style="1" customWidth="1"/>
    <col min="1028" max="1028" width="15.8515625" style="1" customWidth="1"/>
    <col min="1029" max="1029" width="10.8515625" style="1" customWidth="1"/>
    <col min="1030" max="1030" width="75.57421875" style="1" customWidth="1"/>
    <col min="1031" max="1031" width="5.8515625" style="1" customWidth="1"/>
    <col min="1032" max="1032" width="11.28125" style="1" customWidth="1"/>
    <col min="1033" max="1033" width="12.00390625" style="1" customWidth="1"/>
    <col min="1034" max="1034" width="10.28125" style="1" customWidth="1"/>
    <col min="1035" max="1035" width="12.00390625" style="1" customWidth="1"/>
    <col min="1036" max="1036" width="12.28125" style="1" customWidth="1"/>
    <col min="1037" max="1037" width="11.7109375" style="1" customWidth="1"/>
    <col min="1038" max="1048" width="12.140625" style="1" customWidth="1"/>
    <col min="1049" max="1098" width="12.140625" style="1" hidden="1" customWidth="1"/>
    <col min="1099" max="1280" width="12.140625" style="1" customWidth="1"/>
    <col min="1281" max="1281" width="4.00390625" style="1" customWidth="1"/>
    <col min="1282" max="1282" width="14.28125" style="1" customWidth="1"/>
    <col min="1283" max="1283" width="62.421875" style="1" customWidth="1"/>
    <col min="1284" max="1284" width="15.8515625" style="1" customWidth="1"/>
    <col min="1285" max="1285" width="10.8515625" style="1" customWidth="1"/>
    <col min="1286" max="1286" width="75.57421875" style="1" customWidth="1"/>
    <col min="1287" max="1287" width="5.8515625" style="1" customWidth="1"/>
    <col min="1288" max="1288" width="11.28125" style="1" customWidth="1"/>
    <col min="1289" max="1289" width="12.00390625" style="1" customWidth="1"/>
    <col min="1290" max="1290" width="10.28125" style="1" customWidth="1"/>
    <col min="1291" max="1291" width="12.00390625" style="1" customWidth="1"/>
    <col min="1292" max="1292" width="12.28125" style="1" customWidth="1"/>
    <col min="1293" max="1293" width="11.7109375" style="1" customWidth="1"/>
    <col min="1294" max="1304" width="12.140625" style="1" customWidth="1"/>
    <col min="1305" max="1354" width="12.140625" style="1" hidden="1" customWidth="1"/>
    <col min="1355" max="1536" width="12.140625" style="1" customWidth="1"/>
    <col min="1537" max="1537" width="4.00390625" style="1" customWidth="1"/>
    <col min="1538" max="1538" width="14.28125" style="1" customWidth="1"/>
    <col min="1539" max="1539" width="62.421875" style="1" customWidth="1"/>
    <col min="1540" max="1540" width="15.8515625" style="1" customWidth="1"/>
    <col min="1541" max="1541" width="10.8515625" style="1" customWidth="1"/>
    <col min="1542" max="1542" width="75.57421875" style="1" customWidth="1"/>
    <col min="1543" max="1543" width="5.8515625" style="1" customWidth="1"/>
    <col min="1544" max="1544" width="11.28125" style="1" customWidth="1"/>
    <col min="1545" max="1545" width="12.00390625" style="1" customWidth="1"/>
    <col min="1546" max="1546" width="10.28125" style="1" customWidth="1"/>
    <col min="1547" max="1547" width="12.00390625" style="1" customWidth="1"/>
    <col min="1548" max="1548" width="12.28125" style="1" customWidth="1"/>
    <col min="1549" max="1549" width="11.7109375" style="1" customWidth="1"/>
    <col min="1550" max="1560" width="12.140625" style="1" customWidth="1"/>
    <col min="1561" max="1610" width="12.140625" style="1" hidden="1" customWidth="1"/>
    <col min="1611" max="1792" width="12.140625" style="1" customWidth="1"/>
    <col min="1793" max="1793" width="4.00390625" style="1" customWidth="1"/>
    <col min="1794" max="1794" width="14.28125" style="1" customWidth="1"/>
    <col min="1795" max="1795" width="62.421875" style="1" customWidth="1"/>
    <col min="1796" max="1796" width="15.8515625" style="1" customWidth="1"/>
    <col min="1797" max="1797" width="10.8515625" style="1" customWidth="1"/>
    <col min="1798" max="1798" width="75.57421875" style="1" customWidth="1"/>
    <col min="1799" max="1799" width="5.8515625" style="1" customWidth="1"/>
    <col min="1800" max="1800" width="11.28125" style="1" customWidth="1"/>
    <col min="1801" max="1801" width="12.00390625" style="1" customWidth="1"/>
    <col min="1802" max="1802" width="10.28125" style="1" customWidth="1"/>
    <col min="1803" max="1803" width="12.00390625" style="1" customWidth="1"/>
    <col min="1804" max="1804" width="12.28125" style="1" customWidth="1"/>
    <col min="1805" max="1805" width="11.7109375" style="1" customWidth="1"/>
    <col min="1806" max="1816" width="12.140625" style="1" customWidth="1"/>
    <col min="1817" max="1866" width="12.140625" style="1" hidden="1" customWidth="1"/>
    <col min="1867" max="2048" width="12.140625" style="1" customWidth="1"/>
    <col min="2049" max="2049" width="4.00390625" style="1" customWidth="1"/>
    <col min="2050" max="2050" width="14.28125" style="1" customWidth="1"/>
    <col min="2051" max="2051" width="62.421875" style="1" customWidth="1"/>
    <col min="2052" max="2052" width="15.8515625" style="1" customWidth="1"/>
    <col min="2053" max="2053" width="10.8515625" style="1" customWidth="1"/>
    <col min="2054" max="2054" width="75.57421875" style="1" customWidth="1"/>
    <col min="2055" max="2055" width="5.8515625" style="1" customWidth="1"/>
    <col min="2056" max="2056" width="11.28125" style="1" customWidth="1"/>
    <col min="2057" max="2057" width="12.00390625" style="1" customWidth="1"/>
    <col min="2058" max="2058" width="10.28125" style="1" customWidth="1"/>
    <col min="2059" max="2059" width="12.00390625" style="1" customWidth="1"/>
    <col min="2060" max="2060" width="12.28125" style="1" customWidth="1"/>
    <col min="2061" max="2061" width="11.7109375" style="1" customWidth="1"/>
    <col min="2062" max="2072" width="12.140625" style="1" customWidth="1"/>
    <col min="2073" max="2122" width="12.140625" style="1" hidden="1" customWidth="1"/>
    <col min="2123" max="2304" width="12.140625" style="1" customWidth="1"/>
    <col min="2305" max="2305" width="4.00390625" style="1" customWidth="1"/>
    <col min="2306" max="2306" width="14.28125" style="1" customWidth="1"/>
    <col min="2307" max="2307" width="62.421875" style="1" customWidth="1"/>
    <col min="2308" max="2308" width="15.8515625" style="1" customWidth="1"/>
    <col min="2309" max="2309" width="10.8515625" style="1" customWidth="1"/>
    <col min="2310" max="2310" width="75.57421875" style="1" customWidth="1"/>
    <col min="2311" max="2311" width="5.8515625" style="1" customWidth="1"/>
    <col min="2312" max="2312" width="11.28125" style="1" customWidth="1"/>
    <col min="2313" max="2313" width="12.00390625" style="1" customWidth="1"/>
    <col min="2314" max="2314" width="10.28125" style="1" customWidth="1"/>
    <col min="2315" max="2315" width="12.00390625" style="1" customWidth="1"/>
    <col min="2316" max="2316" width="12.28125" style="1" customWidth="1"/>
    <col min="2317" max="2317" width="11.7109375" style="1" customWidth="1"/>
    <col min="2318" max="2328" width="12.140625" style="1" customWidth="1"/>
    <col min="2329" max="2378" width="12.140625" style="1" hidden="1" customWidth="1"/>
    <col min="2379" max="2560" width="12.140625" style="1" customWidth="1"/>
    <col min="2561" max="2561" width="4.00390625" style="1" customWidth="1"/>
    <col min="2562" max="2562" width="14.28125" style="1" customWidth="1"/>
    <col min="2563" max="2563" width="62.421875" style="1" customWidth="1"/>
    <col min="2564" max="2564" width="15.8515625" style="1" customWidth="1"/>
    <col min="2565" max="2565" width="10.8515625" style="1" customWidth="1"/>
    <col min="2566" max="2566" width="75.57421875" style="1" customWidth="1"/>
    <col min="2567" max="2567" width="5.8515625" style="1" customWidth="1"/>
    <col min="2568" max="2568" width="11.28125" style="1" customWidth="1"/>
    <col min="2569" max="2569" width="12.00390625" style="1" customWidth="1"/>
    <col min="2570" max="2570" width="10.28125" style="1" customWidth="1"/>
    <col min="2571" max="2571" width="12.00390625" style="1" customWidth="1"/>
    <col min="2572" max="2572" width="12.28125" style="1" customWidth="1"/>
    <col min="2573" max="2573" width="11.7109375" style="1" customWidth="1"/>
    <col min="2574" max="2584" width="12.140625" style="1" customWidth="1"/>
    <col min="2585" max="2634" width="12.140625" style="1" hidden="1" customWidth="1"/>
    <col min="2635" max="2816" width="12.140625" style="1" customWidth="1"/>
    <col min="2817" max="2817" width="4.00390625" style="1" customWidth="1"/>
    <col min="2818" max="2818" width="14.28125" style="1" customWidth="1"/>
    <col min="2819" max="2819" width="62.421875" style="1" customWidth="1"/>
    <col min="2820" max="2820" width="15.8515625" style="1" customWidth="1"/>
    <col min="2821" max="2821" width="10.8515625" style="1" customWidth="1"/>
    <col min="2822" max="2822" width="75.57421875" style="1" customWidth="1"/>
    <col min="2823" max="2823" width="5.8515625" style="1" customWidth="1"/>
    <col min="2824" max="2824" width="11.28125" style="1" customWidth="1"/>
    <col min="2825" max="2825" width="12.00390625" style="1" customWidth="1"/>
    <col min="2826" max="2826" width="10.28125" style="1" customWidth="1"/>
    <col min="2827" max="2827" width="12.00390625" style="1" customWidth="1"/>
    <col min="2828" max="2828" width="12.28125" style="1" customWidth="1"/>
    <col min="2829" max="2829" width="11.7109375" style="1" customWidth="1"/>
    <col min="2830" max="2840" width="12.140625" style="1" customWidth="1"/>
    <col min="2841" max="2890" width="12.140625" style="1" hidden="1" customWidth="1"/>
    <col min="2891" max="3072" width="12.140625" style="1" customWidth="1"/>
    <col min="3073" max="3073" width="4.00390625" style="1" customWidth="1"/>
    <col min="3074" max="3074" width="14.28125" style="1" customWidth="1"/>
    <col min="3075" max="3075" width="62.421875" style="1" customWidth="1"/>
    <col min="3076" max="3076" width="15.8515625" style="1" customWidth="1"/>
    <col min="3077" max="3077" width="10.8515625" style="1" customWidth="1"/>
    <col min="3078" max="3078" width="75.57421875" style="1" customWidth="1"/>
    <col min="3079" max="3079" width="5.8515625" style="1" customWidth="1"/>
    <col min="3080" max="3080" width="11.28125" style="1" customWidth="1"/>
    <col min="3081" max="3081" width="12.00390625" style="1" customWidth="1"/>
    <col min="3082" max="3082" width="10.28125" style="1" customWidth="1"/>
    <col min="3083" max="3083" width="12.00390625" style="1" customWidth="1"/>
    <col min="3084" max="3084" width="12.28125" style="1" customWidth="1"/>
    <col min="3085" max="3085" width="11.7109375" style="1" customWidth="1"/>
    <col min="3086" max="3096" width="12.140625" style="1" customWidth="1"/>
    <col min="3097" max="3146" width="12.140625" style="1" hidden="1" customWidth="1"/>
    <col min="3147" max="3328" width="12.140625" style="1" customWidth="1"/>
    <col min="3329" max="3329" width="4.00390625" style="1" customWidth="1"/>
    <col min="3330" max="3330" width="14.28125" style="1" customWidth="1"/>
    <col min="3331" max="3331" width="62.421875" style="1" customWidth="1"/>
    <col min="3332" max="3332" width="15.8515625" style="1" customWidth="1"/>
    <col min="3333" max="3333" width="10.8515625" style="1" customWidth="1"/>
    <col min="3334" max="3334" width="75.57421875" style="1" customWidth="1"/>
    <col min="3335" max="3335" width="5.8515625" style="1" customWidth="1"/>
    <col min="3336" max="3336" width="11.28125" style="1" customWidth="1"/>
    <col min="3337" max="3337" width="12.00390625" style="1" customWidth="1"/>
    <col min="3338" max="3338" width="10.28125" style="1" customWidth="1"/>
    <col min="3339" max="3339" width="12.00390625" style="1" customWidth="1"/>
    <col min="3340" max="3340" width="12.28125" style="1" customWidth="1"/>
    <col min="3341" max="3341" width="11.7109375" style="1" customWidth="1"/>
    <col min="3342" max="3352" width="12.140625" style="1" customWidth="1"/>
    <col min="3353" max="3402" width="12.140625" style="1" hidden="1" customWidth="1"/>
    <col min="3403" max="3584" width="12.140625" style="1" customWidth="1"/>
    <col min="3585" max="3585" width="4.00390625" style="1" customWidth="1"/>
    <col min="3586" max="3586" width="14.28125" style="1" customWidth="1"/>
    <col min="3587" max="3587" width="62.421875" style="1" customWidth="1"/>
    <col min="3588" max="3588" width="15.8515625" style="1" customWidth="1"/>
    <col min="3589" max="3589" width="10.8515625" style="1" customWidth="1"/>
    <col min="3590" max="3590" width="75.57421875" style="1" customWidth="1"/>
    <col min="3591" max="3591" width="5.8515625" style="1" customWidth="1"/>
    <col min="3592" max="3592" width="11.28125" style="1" customWidth="1"/>
    <col min="3593" max="3593" width="12.00390625" style="1" customWidth="1"/>
    <col min="3594" max="3594" width="10.28125" style="1" customWidth="1"/>
    <col min="3595" max="3595" width="12.00390625" style="1" customWidth="1"/>
    <col min="3596" max="3596" width="12.28125" style="1" customWidth="1"/>
    <col min="3597" max="3597" width="11.7109375" style="1" customWidth="1"/>
    <col min="3598" max="3608" width="12.140625" style="1" customWidth="1"/>
    <col min="3609" max="3658" width="12.140625" style="1" hidden="1" customWidth="1"/>
    <col min="3659" max="3840" width="12.140625" style="1" customWidth="1"/>
    <col min="3841" max="3841" width="4.00390625" style="1" customWidth="1"/>
    <col min="3842" max="3842" width="14.28125" style="1" customWidth="1"/>
    <col min="3843" max="3843" width="62.421875" style="1" customWidth="1"/>
    <col min="3844" max="3844" width="15.8515625" style="1" customWidth="1"/>
    <col min="3845" max="3845" width="10.8515625" style="1" customWidth="1"/>
    <col min="3846" max="3846" width="75.57421875" style="1" customWidth="1"/>
    <col min="3847" max="3847" width="5.8515625" style="1" customWidth="1"/>
    <col min="3848" max="3848" width="11.28125" style="1" customWidth="1"/>
    <col min="3849" max="3849" width="12.00390625" style="1" customWidth="1"/>
    <col min="3850" max="3850" width="10.28125" style="1" customWidth="1"/>
    <col min="3851" max="3851" width="12.00390625" style="1" customWidth="1"/>
    <col min="3852" max="3852" width="12.28125" style="1" customWidth="1"/>
    <col min="3853" max="3853" width="11.7109375" style="1" customWidth="1"/>
    <col min="3854" max="3864" width="12.140625" style="1" customWidth="1"/>
    <col min="3865" max="3914" width="12.140625" style="1" hidden="1" customWidth="1"/>
    <col min="3915" max="4096" width="12.140625" style="1" customWidth="1"/>
    <col min="4097" max="4097" width="4.00390625" style="1" customWidth="1"/>
    <col min="4098" max="4098" width="14.28125" style="1" customWidth="1"/>
    <col min="4099" max="4099" width="62.421875" style="1" customWidth="1"/>
    <col min="4100" max="4100" width="15.8515625" style="1" customWidth="1"/>
    <col min="4101" max="4101" width="10.8515625" style="1" customWidth="1"/>
    <col min="4102" max="4102" width="75.57421875" style="1" customWidth="1"/>
    <col min="4103" max="4103" width="5.8515625" style="1" customWidth="1"/>
    <col min="4104" max="4104" width="11.28125" style="1" customWidth="1"/>
    <col min="4105" max="4105" width="12.00390625" style="1" customWidth="1"/>
    <col min="4106" max="4106" width="10.28125" style="1" customWidth="1"/>
    <col min="4107" max="4107" width="12.00390625" style="1" customWidth="1"/>
    <col min="4108" max="4108" width="12.28125" style="1" customWidth="1"/>
    <col min="4109" max="4109" width="11.7109375" style="1" customWidth="1"/>
    <col min="4110" max="4120" width="12.140625" style="1" customWidth="1"/>
    <col min="4121" max="4170" width="12.140625" style="1" hidden="1" customWidth="1"/>
    <col min="4171" max="4352" width="12.140625" style="1" customWidth="1"/>
    <col min="4353" max="4353" width="4.00390625" style="1" customWidth="1"/>
    <col min="4354" max="4354" width="14.28125" style="1" customWidth="1"/>
    <col min="4355" max="4355" width="62.421875" style="1" customWidth="1"/>
    <col min="4356" max="4356" width="15.8515625" style="1" customWidth="1"/>
    <col min="4357" max="4357" width="10.8515625" style="1" customWidth="1"/>
    <col min="4358" max="4358" width="75.57421875" style="1" customWidth="1"/>
    <col min="4359" max="4359" width="5.8515625" style="1" customWidth="1"/>
    <col min="4360" max="4360" width="11.28125" style="1" customWidth="1"/>
    <col min="4361" max="4361" width="12.00390625" style="1" customWidth="1"/>
    <col min="4362" max="4362" width="10.28125" style="1" customWidth="1"/>
    <col min="4363" max="4363" width="12.00390625" style="1" customWidth="1"/>
    <col min="4364" max="4364" width="12.28125" style="1" customWidth="1"/>
    <col min="4365" max="4365" width="11.7109375" style="1" customWidth="1"/>
    <col min="4366" max="4376" width="12.140625" style="1" customWidth="1"/>
    <col min="4377" max="4426" width="12.140625" style="1" hidden="1" customWidth="1"/>
    <col min="4427" max="4608" width="12.140625" style="1" customWidth="1"/>
    <col min="4609" max="4609" width="4.00390625" style="1" customWidth="1"/>
    <col min="4610" max="4610" width="14.28125" style="1" customWidth="1"/>
    <col min="4611" max="4611" width="62.421875" style="1" customWidth="1"/>
    <col min="4612" max="4612" width="15.8515625" style="1" customWidth="1"/>
    <col min="4613" max="4613" width="10.8515625" style="1" customWidth="1"/>
    <col min="4614" max="4614" width="75.57421875" style="1" customWidth="1"/>
    <col min="4615" max="4615" width="5.8515625" style="1" customWidth="1"/>
    <col min="4616" max="4616" width="11.28125" style="1" customWidth="1"/>
    <col min="4617" max="4617" width="12.00390625" style="1" customWidth="1"/>
    <col min="4618" max="4618" width="10.28125" style="1" customWidth="1"/>
    <col min="4619" max="4619" width="12.00390625" style="1" customWidth="1"/>
    <col min="4620" max="4620" width="12.28125" style="1" customWidth="1"/>
    <col min="4621" max="4621" width="11.7109375" style="1" customWidth="1"/>
    <col min="4622" max="4632" width="12.140625" style="1" customWidth="1"/>
    <col min="4633" max="4682" width="12.140625" style="1" hidden="1" customWidth="1"/>
    <col min="4683" max="4864" width="12.140625" style="1" customWidth="1"/>
    <col min="4865" max="4865" width="4.00390625" style="1" customWidth="1"/>
    <col min="4866" max="4866" width="14.28125" style="1" customWidth="1"/>
    <col min="4867" max="4867" width="62.421875" style="1" customWidth="1"/>
    <col min="4868" max="4868" width="15.8515625" style="1" customWidth="1"/>
    <col min="4869" max="4869" width="10.8515625" style="1" customWidth="1"/>
    <col min="4870" max="4870" width="75.57421875" style="1" customWidth="1"/>
    <col min="4871" max="4871" width="5.8515625" style="1" customWidth="1"/>
    <col min="4872" max="4872" width="11.28125" style="1" customWidth="1"/>
    <col min="4873" max="4873" width="12.00390625" style="1" customWidth="1"/>
    <col min="4874" max="4874" width="10.28125" style="1" customWidth="1"/>
    <col min="4875" max="4875" width="12.00390625" style="1" customWidth="1"/>
    <col min="4876" max="4876" width="12.28125" style="1" customWidth="1"/>
    <col min="4877" max="4877" width="11.7109375" style="1" customWidth="1"/>
    <col min="4878" max="4888" width="12.140625" style="1" customWidth="1"/>
    <col min="4889" max="4938" width="12.140625" style="1" hidden="1" customWidth="1"/>
    <col min="4939" max="5120" width="12.140625" style="1" customWidth="1"/>
    <col min="5121" max="5121" width="4.00390625" style="1" customWidth="1"/>
    <col min="5122" max="5122" width="14.28125" style="1" customWidth="1"/>
    <col min="5123" max="5123" width="62.421875" style="1" customWidth="1"/>
    <col min="5124" max="5124" width="15.8515625" style="1" customWidth="1"/>
    <col min="5125" max="5125" width="10.8515625" style="1" customWidth="1"/>
    <col min="5126" max="5126" width="75.57421875" style="1" customWidth="1"/>
    <col min="5127" max="5127" width="5.8515625" style="1" customWidth="1"/>
    <col min="5128" max="5128" width="11.28125" style="1" customWidth="1"/>
    <col min="5129" max="5129" width="12.00390625" style="1" customWidth="1"/>
    <col min="5130" max="5130" width="10.28125" style="1" customWidth="1"/>
    <col min="5131" max="5131" width="12.00390625" style="1" customWidth="1"/>
    <col min="5132" max="5132" width="12.28125" style="1" customWidth="1"/>
    <col min="5133" max="5133" width="11.7109375" style="1" customWidth="1"/>
    <col min="5134" max="5144" width="12.140625" style="1" customWidth="1"/>
    <col min="5145" max="5194" width="12.140625" style="1" hidden="1" customWidth="1"/>
    <col min="5195" max="5376" width="12.140625" style="1" customWidth="1"/>
    <col min="5377" max="5377" width="4.00390625" style="1" customWidth="1"/>
    <col min="5378" max="5378" width="14.28125" style="1" customWidth="1"/>
    <col min="5379" max="5379" width="62.421875" style="1" customWidth="1"/>
    <col min="5380" max="5380" width="15.8515625" style="1" customWidth="1"/>
    <col min="5381" max="5381" width="10.8515625" style="1" customWidth="1"/>
    <col min="5382" max="5382" width="75.57421875" style="1" customWidth="1"/>
    <col min="5383" max="5383" width="5.8515625" style="1" customWidth="1"/>
    <col min="5384" max="5384" width="11.28125" style="1" customWidth="1"/>
    <col min="5385" max="5385" width="12.00390625" style="1" customWidth="1"/>
    <col min="5386" max="5386" width="10.28125" style="1" customWidth="1"/>
    <col min="5387" max="5387" width="12.00390625" style="1" customWidth="1"/>
    <col min="5388" max="5388" width="12.28125" style="1" customWidth="1"/>
    <col min="5389" max="5389" width="11.7109375" style="1" customWidth="1"/>
    <col min="5390" max="5400" width="12.140625" style="1" customWidth="1"/>
    <col min="5401" max="5450" width="12.140625" style="1" hidden="1" customWidth="1"/>
    <col min="5451" max="5632" width="12.140625" style="1" customWidth="1"/>
    <col min="5633" max="5633" width="4.00390625" style="1" customWidth="1"/>
    <col min="5634" max="5634" width="14.28125" style="1" customWidth="1"/>
    <col min="5635" max="5635" width="62.421875" style="1" customWidth="1"/>
    <col min="5636" max="5636" width="15.8515625" style="1" customWidth="1"/>
    <col min="5637" max="5637" width="10.8515625" style="1" customWidth="1"/>
    <col min="5638" max="5638" width="75.57421875" style="1" customWidth="1"/>
    <col min="5639" max="5639" width="5.8515625" style="1" customWidth="1"/>
    <col min="5640" max="5640" width="11.28125" style="1" customWidth="1"/>
    <col min="5641" max="5641" width="12.00390625" style="1" customWidth="1"/>
    <col min="5642" max="5642" width="10.28125" style="1" customWidth="1"/>
    <col min="5643" max="5643" width="12.00390625" style="1" customWidth="1"/>
    <col min="5644" max="5644" width="12.28125" style="1" customWidth="1"/>
    <col min="5645" max="5645" width="11.7109375" style="1" customWidth="1"/>
    <col min="5646" max="5656" width="12.140625" style="1" customWidth="1"/>
    <col min="5657" max="5706" width="12.140625" style="1" hidden="1" customWidth="1"/>
    <col min="5707" max="5888" width="12.140625" style="1" customWidth="1"/>
    <col min="5889" max="5889" width="4.00390625" style="1" customWidth="1"/>
    <col min="5890" max="5890" width="14.28125" style="1" customWidth="1"/>
    <col min="5891" max="5891" width="62.421875" style="1" customWidth="1"/>
    <col min="5892" max="5892" width="15.8515625" style="1" customWidth="1"/>
    <col min="5893" max="5893" width="10.8515625" style="1" customWidth="1"/>
    <col min="5894" max="5894" width="75.57421875" style="1" customWidth="1"/>
    <col min="5895" max="5895" width="5.8515625" style="1" customWidth="1"/>
    <col min="5896" max="5896" width="11.28125" style="1" customWidth="1"/>
    <col min="5897" max="5897" width="12.00390625" style="1" customWidth="1"/>
    <col min="5898" max="5898" width="10.28125" style="1" customWidth="1"/>
    <col min="5899" max="5899" width="12.00390625" style="1" customWidth="1"/>
    <col min="5900" max="5900" width="12.28125" style="1" customWidth="1"/>
    <col min="5901" max="5901" width="11.7109375" style="1" customWidth="1"/>
    <col min="5902" max="5912" width="12.140625" style="1" customWidth="1"/>
    <col min="5913" max="5962" width="12.140625" style="1" hidden="1" customWidth="1"/>
    <col min="5963" max="6144" width="12.140625" style="1" customWidth="1"/>
    <col min="6145" max="6145" width="4.00390625" style="1" customWidth="1"/>
    <col min="6146" max="6146" width="14.28125" style="1" customWidth="1"/>
    <col min="6147" max="6147" width="62.421875" style="1" customWidth="1"/>
    <col min="6148" max="6148" width="15.8515625" style="1" customWidth="1"/>
    <col min="6149" max="6149" width="10.8515625" style="1" customWidth="1"/>
    <col min="6150" max="6150" width="75.57421875" style="1" customWidth="1"/>
    <col min="6151" max="6151" width="5.8515625" style="1" customWidth="1"/>
    <col min="6152" max="6152" width="11.28125" style="1" customWidth="1"/>
    <col min="6153" max="6153" width="12.00390625" style="1" customWidth="1"/>
    <col min="6154" max="6154" width="10.28125" style="1" customWidth="1"/>
    <col min="6155" max="6155" width="12.00390625" style="1" customWidth="1"/>
    <col min="6156" max="6156" width="12.28125" style="1" customWidth="1"/>
    <col min="6157" max="6157" width="11.7109375" style="1" customWidth="1"/>
    <col min="6158" max="6168" width="12.140625" style="1" customWidth="1"/>
    <col min="6169" max="6218" width="12.140625" style="1" hidden="1" customWidth="1"/>
    <col min="6219" max="6400" width="12.140625" style="1" customWidth="1"/>
    <col min="6401" max="6401" width="4.00390625" style="1" customWidth="1"/>
    <col min="6402" max="6402" width="14.28125" style="1" customWidth="1"/>
    <col min="6403" max="6403" width="62.421875" style="1" customWidth="1"/>
    <col min="6404" max="6404" width="15.8515625" style="1" customWidth="1"/>
    <col min="6405" max="6405" width="10.8515625" style="1" customWidth="1"/>
    <col min="6406" max="6406" width="75.57421875" style="1" customWidth="1"/>
    <col min="6407" max="6407" width="5.8515625" style="1" customWidth="1"/>
    <col min="6408" max="6408" width="11.28125" style="1" customWidth="1"/>
    <col min="6409" max="6409" width="12.00390625" style="1" customWidth="1"/>
    <col min="6410" max="6410" width="10.28125" style="1" customWidth="1"/>
    <col min="6411" max="6411" width="12.00390625" style="1" customWidth="1"/>
    <col min="6412" max="6412" width="12.28125" style="1" customWidth="1"/>
    <col min="6413" max="6413" width="11.7109375" style="1" customWidth="1"/>
    <col min="6414" max="6424" width="12.140625" style="1" customWidth="1"/>
    <col min="6425" max="6474" width="12.140625" style="1" hidden="1" customWidth="1"/>
    <col min="6475" max="6656" width="12.140625" style="1" customWidth="1"/>
    <col min="6657" max="6657" width="4.00390625" style="1" customWidth="1"/>
    <col min="6658" max="6658" width="14.28125" style="1" customWidth="1"/>
    <col min="6659" max="6659" width="62.421875" style="1" customWidth="1"/>
    <col min="6660" max="6660" width="15.8515625" style="1" customWidth="1"/>
    <col min="6661" max="6661" width="10.8515625" style="1" customWidth="1"/>
    <col min="6662" max="6662" width="75.57421875" style="1" customWidth="1"/>
    <col min="6663" max="6663" width="5.8515625" style="1" customWidth="1"/>
    <col min="6664" max="6664" width="11.28125" style="1" customWidth="1"/>
    <col min="6665" max="6665" width="12.00390625" style="1" customWidth="1"/>
    <col min="6666" max="6666" width="10.28125" style="1" customWidth="1"/>
    <col min="6667" max="6667" width="12.00390625" style="1" customWidth="1"/>
    <col min="6668" max="6668" width="12.28125" style="1" customWidth="1"/>
    <col min="6669" max="6669" width="11.7109375" style="1" customWidth="1"/>
    <col min="6670" max="6680" width="12.140625" style="1" customWidth="1"/>
    <col min="6681" max="6730" width="12.140625" style="1" hidden="1" customWidth="1"/>
    <col min="6731" max="6912" width="12.140625" style="1" customWidth="1"/>
    <col min="6913" max="6913" width="4.00390625" style="1" customWidth="1"/>
    <col min="6914" max="6914" width="14.28125" style="1" customWidth="1"/>
    <col min="6915" max="6915" width="62.421875" style="1" customWidth="1"/>
    <col min="6916" max="6916" width="15.8515625" style="1" customWidth="1"/>
    <col min="6917" max="6917" width="10.8515625" style="1" customWidth="1"/>
    <col min="6918" max="6918" width="75.57421875" style="1" customWidth="1"/>
    <col min="6919" max="6919" width="5.8515625" style="1" customWidth="1"/>
    <col min="6920" max="6920" width="11.28125" style="1" customWidth="1"/>
    <col min="6921" max="6921" width="12.00390625" style="1" customWidth="1"/>
    <col min="6922" max="6922" width="10.28125" style="1" customWidth="1"/>
    <col min="6923" max="6923" width="12.00390625" style="1" customWidth="1"/>
    <col min="6924" max="6924" width="12.28125" style="1" customWidth="1"/>
    <col min="6925" max="6925" width="11.7109375" style="1" customWidth="1"/>
    <col min="6926" max="6936" width="12.140625" style="1" customWidth="1"/>
    <col min="6937" max="6986" width="12.140625" style="1" hidden="1" customWidth="1"/>
    <col min="6987" max="7168" width="12.140625" style="1" customWidth="1"/>
    <col min="7169" max="7169" width="4.00390625" style="1" customWidth="1"/>
    <col min="7170" max="7170" width="14.28125" style="1" customWidth="1"/>
    <col min="7171" max="7171" width="62.421875" style="1" customWidth="1"/>
    <col min="7172" max="7172" width="15.8515625" style="1" customWidth="1"/>
    <col min="7173" max="7173" width="10.8515625" style="1" customWidth="1"/>
    <col min="7174" max="7174" width="75.57421875" style="1" customWidth="1"/>
    <col min="7175" max="7175" width="5.8515625" style="1" customWidth="1"/>
    <col min="7176" max="7176" width="11.28125" style="1" customWidth="1"/>
    <col min="7177" max="7177" width="12.00390625" style="1" customWidth="1"/>
    <col min="7178" max="7178" width="10.28125" style="1" customWidth="1"/>
    <col min="7179" max="7179" width="12.00390625" style="1" customWidth="1"/>
    <col min="7180" max="7180" width="12.28125" style="1" customWidth="1"/>
    <col min="7181" max="7181" width="11.7109375" style="1" customWidth="1"/>
    <col min="7182" max="7192" width="12.140625" style="1" customWidth="1"/>
    <col min="7193" max="7242" width="12.140625" style="1" hidden="1" customWidth="1"/>
    <col min="7243" max="7424" width="12.140625" style="1" customWidth="1"/>
    <col min="7425" max="7425" width="4.00390625" style="1" customWidth="1"/>
    <col min="7426" max="7426" width="14.28125" style="1" customWidth="1"/>
    <col min="7427" max="7427" width="62.421875" style="1" customWidth="1"/>
    <col min="7428" max="7428" width="15.8515625" style="1" customWidth="1"/>
    <col min="7429" max="7429" width="10.8515625" style="1" customWidth="1"/>
    <col min="7430" max="7430" width="75.57421875" style="1" customWidth="1"/>
    <col min="7431" max="7431" width="5.8515625" style="1" customWidth="1"/>
    <col min="7432" max="7432" width="11.28125" style="1" customWidth="1"/>
    <col min="7433" max="7433" width="12.00390625" style="1" customWidth="1"/>
    <col min="7434" max="7434" width="10.28125" style="1" customWidth="1"/>
    <col min="7435" max="7435" width="12.00390625" style="1" customWidth="1"/>
    <col min="7436" max="7436" width="12.28125" style="1" customWidth="1"/>
    <col min="7437" max="7437" width="11.7109375" style="1" customWidth="1"/>
    <col min="7438" max="7448" width="12.140625" style="1" customWidth="1"/>
    <col min="7449" max="7498" width="12.140625" style="1" hidden="1" customWidth="1"/>
    <col min="7499" max="7680" width="12.140625" style="1" customWidth="1"/>
    <col min="7681" max="7681" width="4.00390625" style="1" customWidth="1"/>
    <col min="7682" max="7682" width="14.28125" style="1" customWidth="1"/>
    <col min="7683" max="7683" width="62.421875" style="1" customWidth="1"/>
    <col min="7684" max="7684" width="15.8515625" style="1" customWidth="1"/>
    <col min="7685" max="7685" width="10.8515625" style="1" customWidth="1"/>
    <col min="7686" max="7686" width="75.57421875" style="1" customWidth="1"/>
    <col min="7687" max="7687" width="5.8515625" style="1" customWidth="1"/>
    <col min="7688" max="7688" width="11.28125" style="1" customWidth="1"/>
    <col min="7689" max="7689" width="12.00390625" style="1" customWidth="1"/>
    <col min="7690" max="7690" width="10.28125" style="1" customWidth="1"/>
    <col min="7691" max="7691" width="12.00390625" style="1" customWidth="1"/>
    <col min="7692" max="7692" width="12.28125" style="1" customWidth="1"/>
    <col min="7693" max="7693" width="11.7109375" style="1" customWidth="1"/>
    <col min="7694" max="7704" width="12.140625" style="1" customWidth="1"/>
    <col min="7705" max="7754" width="12.140625" style="1" hidden="1" customWidth="1"/>
    <col min="7755" max="7936" width="12.140625" style="1" customWidth="1"/>
    <col min="7937" max="7937" width="4.00390625" style="1" customWidth="1"/>
    <col min="7938" max="7938" width="14.28125" style="1" customWidth="1"/>
    <col min="7939" max="7939" width="62.421875" style="1" customWidth="1"/>
    <col min="7940" max="7940" width="15.8515625" style="1" customWidth="1"/>
    <col min="7941" max="7941" width="10.8515625" style="1" customWidth="1"/>
    <col min="7942" max="7942" width="75.57421875" style="1" customWidth="1"/>
    <col min="7943" max="7943" width="5.8515625" style="1" customWidth="1"/>
    <col min="7944" max="7944" width="11.28125" style="1" customWidth="1"/>
    <col min="7945" max="7945" width="12.00390625" style="1" customWidth="1"/>
    <col min="7946" max="7946" width="10.28125" style="1" customWidth="1"/>
    <col min="7947" max="7947" width="12.00390625" style="1" customWidth="1"/>
    <col min="7948" max="7948" width="12.28125" style="1" customWidth="1"/>
    <col min="7949" max="7949" width="11.7109375" style="1" customWidth="1"/>
    <col min="7950" max="7960" width="12.140625" style="1" customWidth="1"/>
    <col min="7961" max="8010" width="12.140625" style="1" hidden="1" customWidth="1"/>
    <col min="8011" max="8192" width="12.140625" style="1" customWidth="1"/>
    <col min="8193" max="8193" width="4.00390625" style="1" customWidth="1"/>
    <col min="8194" max="8194" width="14.28125" style="1" customWidth="1"/>
    <col min="8195" max="8195" width="62.421875" style="1" customWidth="1"/>
    <col min="8196" max="8196" width="15.8515625" style="1" customWidth="1"/>
    <col min="8197" max="8197" width="10.8515625" style="1" customWidth="1"/>
    <col min="8198" max="8198" width="75.57421875" style="1" customWidth="1"/>
    <col min="8199" max="8199" width="5.8515625" style="1" customWidth="1"/>
    <col min="8200" max="8200" width="11.28125" style="1" customWidth="1"/>
    <col min="8201" max="8201" width="12.00390625" style="1" customWidth="1"/>
    <col min="8202" max="8202" width="10.28125" style="1" customWidth="1"/>
    <col min="8203" max="8203" width="12.00390625" style="1" customWidth="1"/>
    <col min="8204" max="8204" width="12.28125" style="1" customWidth="1"/>
    <col min="8205" max="8205" width="11.7109375" style="1" customWidth="1"/>
    <col min="8206" max="8216" width="12.140625" style="1" customWidth="1"/>
    <col min="8217" max="8266" width="12.140625" style="1" hidden="1" customWidth="1"/>
    <col min="8267" max="8448" width="12.140625" style="1" customWidth="1"/>
    <col min="8449" max="8449" width="4.00390625" style="1" customWidth="1"/>
    <col min="8450" max="8450" width="14.28125" style="1" customWidth="1"/>
    <col min="8451" max="8451" width="62.421875" style="1" customWidth="1"/>
    <col min="8452" max="8452" width="15.8515625" style="1" customWidth="1"/>
    <col min="8453" max="8453" width="10.8515625" style="1" customWidth="1"/>
    <col min="8454" max="8454" width="75.57421875" style="1" customWidth="1"/>
    <col min="8455" max="8455" width="5.8515625" style="1" customWidth="1"/>
    <col min="8456" max="8456" width="11.28125" style="1" customWidth="1"/>
    <col min="8457" max="8457" width="12.00390625" style="1" customWidth="1"/>
    <col min="8458" max="8458" width="10.28125" style="1" customWidth="1"/>
    <col min="8459" max="8459" width="12.00390625" style="1" customWidth="1"/>
    <col min="8460" max="8460" width="12.28125" style="1" customWidth="1"/>
    <col min="8461" max="8461" width="11.7109375" style="1" customWidth="1"/>
    <col min="8462" max="8472" width="12.140625" style="1" customWidth="1"/>
    <col min="8473" max="8522" width="12.140625" style="1" hidden="1" customWidth="1"/>
    <col min="8523" max="8704" width="12.140625" style="1" customWidth="1"/>
    <col min="8705" max="8705" width="4.00390625" style="1" customWidth="1"/>
    <col min="8706" max="8706" width="14.28125" style="1" customWidth="1"/>
    <col min="8707" max="8707" width="62.421875" style="1" customWidth="1"/>
    <col min="8708" max="8708" width="15.8515625" style="1" customWidth="1"/>
    <col min="8709" max="8709" width="10.8515625" style="1" customWidth="1"/>
    <col min="8710" max="8710" width="75.57421875" style="1" customWidth="1"/>
    <col min="8711" max="8711" width="5.8515625" style="1" customWidth="1"/>
    <col min="8712" max="8712" width="11.28125" style="1" customWidth="1"/>
    <col min="8713" max="8713" width="12.00390625" style="1" customWidth="1"/>
    <col min="8714" max="8714" width="10.28125" style="1" customWidth="1"/>
    <col min="8715" max="8715" width="12.00390625" style="1" customWidth="1"/>
    <col min="8716" max="8716" width="12.28125" style="1" customWidth="1"/>
    <col min="8717" max="8717" width="11.7109375" style="1" customWidth="1"/>
    <col min="8718" max="8728" width="12.140625" style="1" customWidth="1"/>
    <col min="8729" max="8778" width="12.140625" style="1" hidden="1" customWidth="1"/>
    <col min="8779" max="8960" width="12.140625" style="1" customWidth="1"/>
    <col min="8961" max="8961" width="4.00390625" style="1" customWidth="1"/>
    <col min="8962" max="8962" width="14.28125" style="1" customWidth="1"/>
    <col min="8963" max="8963" width="62.421875" style="1" customWidth="1"/>
    <col min="8964" max="8964" width="15.8515625" style="1" customWidth="1"/>
    <col min="8965" max="8965" width="10.8515625" style="1" customWidth="1"/>
    <col min="8966" max="8966" width="75.57421875" style="1" customWidth="1"/>
    <col min="8967" max="8967" width="5.8515625" style="1" customWidth="1"/>
    <col min="8968" max="8968" width="11.28125" style="1" customWidth="1"/>
    <col min="8969" max="8969" width="12.00390625" style="1" customWidth="1"/>
    <col min="8970" max="8970" width="10.28125" style="1" customWidth="1"/>
    <col min="8971" max="8971" width="12.00390625" style="1" customWidth="1"/>
    <col min="8972" max="8972" width="12.28125" style="1" customWidth="1"/>
    <col min="8973" max="8973" width="11.7109375" style="1" customWidth="1"/>
    <col min="8974" max="8984" width="12.140625" style="1" customWidth="1"/>
    <col min="8985" max="9034" width="12.140625" style="1" hidden="1" customWidth="1"/>
    <col min="9035" max="9216" width="12.140625" style="1" customWidth="1"/>
    <col min="9217" max="9217" width="4.00390625" style="1" customWidth="1"/>
    <col min="9218" max="9218" width="14.28125" style="1" customWidth="1"/>
    <col min="9219" max="9219" width="62.421875" style="1" customWidth="1"/>
    <col min="9220" max="9220" width="15.8515625" style="1" customWidth="1"/>
    <col min="9221" max="9221" width="10.8515625" style="1" customWidth="1"/>
    <col min="9222" max="9222" width="75.57421875" style="1" customWidth="1"/>
    <col min="9223" max="9223" width="5.8515625" style="1" customWidth="1"/>
    <col min="9224" max="9224" width="11.28125" style="1" customWidth="1"/>
    <col min="9225" max="9225" width="12.00390625" style="1" customWidth="1"/>
    <col min="9226" max="9226" width="10.28125" style="1" customWidth="1"/>
    <col min="9227" max="9227" width="12.00390625" style="1" customWidth="1"/>
    <col min="9228" max="9228" width="12.28125" style="1" customWidth="1"/>
    <col min="9229" max="9229" width="11.7109375" style="1" customWidth="1"/>
    <col min="9230" max="9240" width="12.140625" style="1" customWidth="1"/>
    <col min="9241" max="9290" width="12.140625" style="1" hidden="1" customWidth="1"/>
    <col min="9291" max="9472" width="12.140625" style="1" customWidth="1"/>
    <col min="9473" max="9473" width="4.00390625" style="1" customWidth="1"/>
    <col min="9474" max="9474" width="14.28125" style="1" customWidth="1"/>
    <col min="9475" max="9475" width="62.421875" style="1" customWidth="1"/>
    <col min="9476" max="9476" width="15.8515625" style="1" customWidth="1"/>
    <col min="9477" max="9477" width="10.8515625" style="1" customWidth="1"/>
    <col min="9478" max="9478" width="75.57421875" style="1" customWidth="1"/>
    <col min="9479" max="9479" width="5.8515625" style="1" customWidth="1"/>
    <col min="9480" max="9480" width="11.28125" style="1" customWidth="1"/>
    <col min="9481" max="9481" width="12.00390625" style="1" customWidth="1"/>
    <col min="9482" max="9482" width="10.28125" style="1" customWidth="1"/>
    <col min="9483" max="9483" width="12.00390625" style="1" customWidth="1"/>
    <col min="9484" max="9484" width="12.28125" style="1" customWidth="1"/>
    <col min="9485" max="9485" width="11.7109375" style="1" customWidth="1"/>
    <col min="9486" max="9496" width="12.140625" style="1" customWidth="1"/>
    <col min="9497" max="9546" width="12.140625" style="1" hidden="1" customWidth="1"/>
    <col min="9547" max="9728" width="12.140625" style="1" customWidth="1"/>
    <col min="9729" max="9729" width="4.00390625" style="1" customWidth="1"/>
    <col min="9730" max="9730" width="14.28125" style="1" customWidth="1"/>
    <col min="9731" max="9731" width="62.421875" style="1" customWidth="1"/>
    <col min="9732" max="9732" width="15.8515625" style="1" customWidth="1"/>
    <col min="9733" max="9733" width="10.8515625" style="1" customWidth="1"/>
    <col min="9734" max="9734" width="75.57421875" style="1" customWidth="1"/>
    <col min="9735" max="9735" width="5.8515625" style="1" customWidth="1"/>
    <col min="9736" max="9736" width="11.28125" style="1" customWidth="1"/>
    <col min="9737" max="9737" width="12.00390625" style="1" customWidth="1"/>
    <col min="9738" max="9738" width="10.28125" style="1" customWidth="1"/>
    <col min="9739" max="9739" width="12.00390625" style="1" customWidth="1"/>
    <col min="9740" max="9740" width="12.28125" style="1" customWidth="1"/>
    <col min="9741" max="9741" width="11.7109375" style="1" customWidth="1"/>
    <col min="9742" max="9752" width="12.140625" style="1" customWidth="1"/>
    <col min="9753" max="9802" width="12.140625" style="1" hidden="1" customWidth="1"/>
    <col min="9803" max="9984" width="12.140625" style="1" customWidth="1"/>
    <col min="9985" max="9985" width="4.00390625" style="1" customWidth="1"/>
    <col min="9986" max="9986" width="14.28125" style="1" customWidth="1"/>
    <col min="9987" max="9987" width="62.421875" style="1" customWidth="1"/>
    <col min="9988" max="9988" width="15.8515625" style="1" customWidth="1"/>
    <col min="9989" max="9989" width="10.8515625" style="1" customWidth="1"/>
    <col min="9990" max="9990" width="75.57421875" style="1" customWidth="1"/>
    <col min="9991" max="9991" width="5.8515625" style="1" customWidth="1"/>
    <col min="9992" max="9992" width="11.28125" style="1" customWidth="1"/>
    <col min="9993" max="9993" width="12.00390625" style="1" customWidth="1"/>
    <col min="9994" max="9994" width="10.28125" style="1" customWidth="1"/>
    <col min="9995" max="9995" width="12.00390625" style="1" customWidth="1"/>
    <col min="9996" max="9996" width="12.28125" style="1" customWidth="1"/>
    <col min="9997" max="9997" width="11.7109375" style="1" customWidth="1"/>
    <col min="9998" max="10008" width="12.140625" style="1" customWidth="1"/>
    <col min="10009" max="10058" width="12.140625" style="1" hidden="1" customWidth="1"/>
    <col min="10059" max="10240" width="12.140625" style="1" customWidth="1"/>
    <col min="10241" max="10241" width="4.00390625" style="1" customWidth="1"/>
    <col min="10242" max="10242" width="14.28125" style="1" customWidth="1"/>
    <col min="10243" max="10243" width="62.421875" style="1" customWidth="1"/>
    <col min="10244" max="10244" width="15.8515625" style="1" customWidth="1"/>
    <col min="10245" max="10245" width="10.8515625" style="1" customWidth="1"/>
    <col min="10246" max="10246" width="75.57421875" style="1" customWidth="1"/>
    <col min="10247" max="10247" width="5.8515625" style="1" customWidth="1"/>
    <col min="10248" max="10248" width="11.28125" style="1" customWidth="1"/>
    <col min="10249" max="10249" width="12.00390625" style="1" customWidth="1"/>
    <col min="10250" max="10250" width="10.28125" style="1" customWidth="1"/>
    <col min="10251" max="10251" width="12.00390625" style="1" customWidth="1"/>
    <col min="10252" max="10252" width="12.28125" style="1" customWidth="1"/>
    <col min="10253" max="10253" width="11.7109375" style="1" customWidth="1"/>
    <col min="10254" max="10264" width="12.140625" style="1" customWidth="1"/>
    <col min="10265" max="10314" width="12.140625" style="1" hidden="1" customWidth="1"/>
    <col min="10315" max="10496" width="12.140625" style="1" customWidth="1"/>
    <col min="10497" max="10497" width="4.00390625" style="1" customWidth="1"/>
    <col min="10498" max="10498" width="14.28125" style="1" customWidth="1"/>
    <col min="10499" max="10499" width="62.421875" style="1" customWidth="1"/>
    <col min="10500" max="10500" width="15.8515625" style="1" customWidth="1"/>
    <col min="10501" max="10501" width="10.8515625" style="1" customWidth="1"/>
    <col min="10502" max="10502" width="75.57421875" style="1" customWidth="1"/>
    <col min="10503" max="10503" width="5.8515625" style="1" customWidth="1"/>
    <col min="10504" max="10504" width="11.28125" style="1" customWidth="1"/>
    <col min="10505" max="10505" width="12.00390625" style="1" customWidth="1"/>
    <col min="10506" max="10506" width="10.28125" style="1" customWidth="1"/>
    <col min="10507" max="10507" width="12.00390625" style="1" customWidth="1"/>
    <col min="10508" max="10508" width="12.28125" style="1" customWidth="1"/>
    <col min="10509" max="10509" width="11.7109375" style="1" customWidth="1"/>
    <col min="10510" max="10520" width="12.140625" style="1" customWidth="1"/>
    <col min="10521" max="10570" width="12.140625" style="1" hidden="1" customWidth="1"/>
    <col min="10571" max="10752" width="12.140625" style="1" customWidth="1"/>
    <col min="10753" max="10753" width="4.00390625" style="1" customWidth="1"/>
    <col min="10754" max="10754" width="14.28125" style="1" customWidth="1"/>
    <col min="10755" max="10755" width="62.421875" style="1" customWidth="1"/>
    <col min="10756" max="10756" width="15.8515625" style="1" customWidth="1"/>
    <col min="10757" max="10757" width="10.8515625" style="1" customWidth="1"/>
    <col min="10758" max="10758" width="75.57421875" style="1" customWidth="1"/>
    <col min="10759" max="10759" width="5.8515625" style="1" customWidth="1"/>
    <col min="10760" max="10760" width="11.28125" style="1" customWidth="1"/>
    <col min="10761" max="10761" width="12.00390625" style="1" customWidth="1"/>
    <col min="10762" max="10762" width="10.28125" style="1" customWidth="1"/>
    <col min="10763" max="10763" width="12.00390625" style="1" customWidth="1"/>
    <col min="10764" max="10764" width="12.28125" style="1" customWidth="1"/>
    <col min="10765" max="10765" width="11.7109375" style="1" customWidth="1"/>
    <col min="10766" max="10776" width="12.140625" style="1" customWidth="1"/>
    <col min="10777" max="10826" width="12.140625" style="1" hidden="1" customWidth="1"/>
    <col min="10827" max="11008" width="12.140625" style="1" customWidth="1"/>
    <col min="11009" max="11009" width="4.00390625" style="1" customWidth="1"/>
    <col min="11010" max="11010" width="14.28125" style="1" customWidth="1"/>
    <col min="11011" max="11011" width="62.421875" style="1" customWidth="1"/>
    <col min="11012" max="11012" width="15.8515625" style="1" customWidth="1"/>
    <col min="11013" max="11013" width="10.8515625" style="1" customWidth="1"/>
    <col min="11014" max="11014" width="75.57421875" style="1" customWidth="1"/>
    <col min="11015" max="11015" width="5.8515625" style="1" customWidth="1"/>
    <col min="11016" max="11016" width="11.28125" style="1" customWidth="1"/>
    <col min="11017" max="11017" width="12.00390625" style="1" customWidth="1"/>
    <col min="11018" max="11018" width="10.28125" style="1" customWidth="1"/>
    <col min="11019" max="11019" width="12.00390625" style="1" customWidth="1"/>
    <col min="11020" max="11020" width="12.28125" style="1" customWidth="1"/>
    <col min="11021" max="11021" width="11.7109375" style="1" customWidth="1"/>
    <col min="11022" max="11032" width="12.140625" style="1" customWidth="1"/>
    <col min="11033" max="11082" width="12.140625" style="1" hidden="1" customWidth="1"/>
    <col min="11083" max="11264" width="12.140625" style="1" customWidth="1"/>
    <col min="11265" max="11265" width="4.00390625" style="1" customWidth="1"/>
    <col min="11266" max="11266" width="14.28125" style="1" customWidth="1"/>
    <col min="11267" max="11267" width="62.421875" style="1" customWidth="1"/>
    <col min="11268" max="11268" width="15.8515625" style="1" customWidth="1"/>
    <col min="11269" max="11269" width="10.8515625" style="1" customWidth="1"/>
    <col min="11270" max="11270" width="75.57421875" style="1" customWidth="1"/>
    <col min="11271" max="11271" width="5.8515625" style="1" customWidth="1"/>
    <col min="11272" max="11272" width="11.28125" style="1" customWidth="1"/>
    <col min="11273" max="11273" width="12.00390625" style="1" customWidth="1"/>
    <col min="11274" max="11274" width="10.28125" style="1" customWidth="1"/>
    <col min="11275" max="11275" width="12.00390625" style="1" customWidth="1"/>
    <col min="11276" max="11276" width="12.28125" style="1" customWidth="1"/>
    <col min="11277" max="11277" width="11.7109375" style="1" customWidth="1"/>
    <col min="11278" max="11288" width="12.140625" style="1" customWidth="1"/>
    <col min="11289" max="11338" width="12.140625" style="1" hidden="1" customWidth="1"/>
    <col min="11339" max="11520" width="12.140625" style="1" customWidth="1"/>
    <col min="11521" max="11521" width="4.00390625" style="1" customWidth="1"/>
    <col min="11522" max="11522" width="14.28125" style="1" customWidth="1"/>
    <col min="11523" max="11523" width="62.421875" style="1" customWidth="1"/>
    <col min="11524" max="11524" width="15.8515625" style="1" customWidth="1"/>
    <col min="11525" max="11525" width="10.8515625" style="1" customWidth="1"/>
    <col min="11526" max="11526" width="75.57421875" style="1" customWidth="1"/>
    <col min="11527" max="11527" width="5.8515625" style="1" customWidth="1"/>
    <col min="11528" max="11528" width="11.28125" style="1" customWidth="1"/>
    <col min="11529" max="11529" width="12.00390625" style="1" customWidth="1"/>
    <col min="11530" max="11530" width="10.28125" style="1" customWidth="1"/>
    <col min="11531" max="11531" width="12.00390625" style="1" customWidth="1"/>
    <col min="11532" max="11532" width="12.28125" style="1" customWidth="1"/>
    <col min="11533" max="11533" width="11.7109375" style="1" customWidth="1"/>
    <col min="11534" max="11544" width="12.140625" style="1" customWidth="1"/>
    <col min="11545" max="11594" width="12.140625" style="1" hidden="1" customWidth="1"/>
    <col min="11595" max="11776" width="12.140625" style="1" customWidth="1"/>
    <col min="11777" max="11777" width="4.00390625" style="1" customWidth="1"/>
    <col min="11778" max="11778" width="14.28125" style="1" customWidth="1"/>
    <col min="11779" max="11779" width="62.421875" style="1" customWidth="1"/>
    <col min="11780" max="11780" width="15.8515625" style="1" customWidth="1"/>
    <col min="11781" max="11781" width="10.8515625" style="1" customWidth="1"/>
    <col min="11782" max="11782" width="75.57421875" style="1" customWidth="1"/>
    <col min="11783" max="11783" width="5.8515625" style="1" customWidth="1"/>
    <col min="11784" max="11784" width="11.28125" style="1" customWidth="1"/>
    <col min="11785" max="11785" width="12.00390625" style="1" customWidth="1"/>
    <col min="11786" max="11786" width="10.28125" style="1" customWidth="1"/>
    <col min="11787" max="11787" width="12.00390625" style="1" customWidth="1"/>
    <col min="11788" max="11788" width="12.28125" style="1" customWidth="1"/>
    <col min="11789" max="11789" width="11.7109375" style="1" customWidth="1"/>
    <col min="11790" max="11800" width="12.140625" style="1" customWidth="1"/>
    <col min="11801" max="11850" width="12.140625" style="1" hidden="1" customWidth="1"/>
    <col min="11851" max="12032" width="12.140625" style="1" customWidth="1"/>
    <col min="12033" max="12033" width="4.00390625" style="1" customWidth="1"/>
    <col min="12034" max="12034" width="14.28125" style="1" customWidth="1"/>
    <col min="12035" max="12035" width="62.421875" style="1" customWidth="1"/>
    <col min="12036" max="12036" width="15.8515625" style="1" customWidth="1"/>
    <col min="12037" max="12037" width="10.8515625" style="1" customWidth="1"/>
    <col min="12038" max="12038" width="75.57421875" style="1" customWidth="1"/>
    <col min="12039" max="12039" width="5.8515625" style="1" customWidth="1"/>
    <col min="12040" max="12040" width="11.28125" style="1" customWidth="1"/>
    <col min="12041" max="12041" width="12.00390625" style="1" customWidth="1"/>
    <col min="12042" max="12042" width="10.28125" style="1" customWidth="1"/>
    <col min="12043" max="12043" width="12.00390625" style="1" customWidth="1"/>
    <col min="12044" max="12044" width="12.28125" style="1" customWidth="1"/>
    <col min="12045" max="12045" width="11.7109375" style="1" customWidth="1"/>
    <col min="12046" max="12056" width="12.140625" style="1" customWidth="1"/>
    <col min="12057" max="12106" width="12.140625" style="1" hidden="1" customWidth="1"/>
    <col min="12107" max="12288" width="12.140625" style="1" customWidth="1"/>
    <col min="12289" max="12289" width="4.00390625" style="1" customWidth="1"/>
    <col min="12290" max="12290" width="14.28125" style="1" customWidth="1"/>
    <col min="12291" max="12291" width="62.421875" style="1" customWidth="1"/>
    <col min="12292" max="12292" width="15.8515625" style="1" customWidth="1"/>
    <col min="12293" max="12293" width="10.8515625" style="1" customWidth="1"/>
    <col min="12294" max="12294" width="75.57421875" style="1" customWidth="1"/>
    <col min="12295" max="12295" width="5.8515625" style="1" customWidth="1"/>
    <col min="12296" max="12296" width="11.28125" style="1" customWidth="1"/>
    <col min="12297" max="12297" width="12.00390625" style="1" customWidth="1"/>
    <col min="12298" max="12298" width="10.28125" style="1" customWidth="1"/>
    <col min="12299" max="12299" width="12.00390625" style="1" customWidth="1"/>
    <col min="12300" max="12300" width="12.28125" style="1" customWidth="1"/>
    <col min="12301" max="12301" width="11.7109375" style="1" customWidth="1"/>
    <col min="12302" max="12312" width="12.140625" style="1" customWidth="1"/>
    <col min="12313" max="12362" width="12.140625" style="1" hidden="1" customWidth="1"/>
    <col min="12363" max="12544" width="12.140625" style="1" customWidth="1"/>
    <col min="12545" max="12545" width="4.00390625" style="1" customWidth="1"/>
    <col min="12546" max="12546" width="14.28125" style="1" customWidth="1"/>
    <col min="12547" max="12547" width="62.421875" style="1" customWidth="1"/>
    <col min="12548" max="12548" width="15.8515625" style="1" customWidth="1"/>
    <col min="12549" max="12549" width="10.8515625" style="1" customWidth="1"/>
    <col min="12550" max="12550" width="75.57421875" style="1" customWidth="1"/>
    <col min="12551" max="12551" width="5.8515625" style="1" customWidth="1"/>
    <col min="12552" max="12552" width="11.28125" style="1" customWidth="1"/>
    <col min="12553" max="12553" width="12.00390625" style="1" customWidth="1"/>
    <col min="12554" max="12554" width="10.28125" style="1" customWidth="1"/>
    <col min="12555" max="12555" width="12.00390625" style="1" customWidth="1"/>
    <col min="12556" max="12556" width="12.28125" style="1" customWidth="1"/>
    <col min="12557" max="12557" width="11.7109375" style="1" customWidth="1"/>
    <col min="12558" max="12568" width="12.140625" style="1" customWidth="1"/>
    <col min="12569" max="12618" width="12.140625" style="1" hidden="1" customWidth="1"/>
    <col min="12619" max="12800" width="12.140625" style="1" customWidth="1"/>
    <col min="12801" max="12801" width="4.00390625" style="1" customWidth="1"/>
    <col min="12802" max="12802" width="14.28125" style="1" customWidth="1"/>
    <col min="12803" max="12803" width="62.421875" style="1" customWidth="1"/>
    <col min="12804" max="12804" width="15.8515625" style="1" customWidth="1"/>
    <col min="12805" max="12805" width="10.8515625" style="1" customWidth="1"/>
    <col min="12806" max="12806" width="75.57421875" style="1" customWidth="1"/>
    <col min="12807" max="12807" width="5.8515625" style="1" customWidth="1"/>
    <col min="12808" max="12808" width="11.28125" style="1" customWidth="1"/>
    <col min="12809" max="12809" width="12.00390625" style="1" customWidth="1"/>
    <col min="12810" max="12810" width="10.28125" style="1" customWidth="1"/>
    <col min="12811" max="12811" width="12.00390625" style="1" customWidth="1"/>
    <col min="12812" max="12812" width="12.28125" style="1" customWidth="1"/>
    <col min="12813" max="12813" width="11.7109375" style="1" customWidth="1"/>
    <col min="12814" max="12824" width="12.140625" style="1" customWidth="1"/>
    <col min="12825" max="12874" width="12.140625" style="1" hidden="1" customWidth="1"/>
    <col min="12875" max="13056" width="12.140625" style="1" customWidth="1"/>
    <col min="13057" max="13057" width="4.00390625" style="1" customWidth="1"/>
    <col min="13058" max="13058" width="14.28125" style="1" customWidth="1"/>
    <col min="13059" max="13059" width="62.421875" style="1" customWidth="1"/>
    <col min="13060" max="13060" width="15.8515625" style="1" customWidth="1"/>
    <col min="13061" max="13061" width="10.8515625" style="1" customWidth="1"/>
    <col min="13062" max="13062" width="75.57421875" style="1" customWidth="1"/>
    <col min="13063" max="13063" width="5.8515625" style="1" customWidth="1"/>
    <col min="13064" max="13064" width="11.28125" style="1" customWidth="1"/>
    <col min="13065" max="13065" width="12.00390625" style="1" customWidth="1"/>
    <col min="13066" max="13066" width="10.28125" style="1" customWidth="1"/>
    <col min="13067" max="13067" width="12.00390625" style="1" customWidth="1"/>
    <col min="13068" max="13068" width="12.28125" style="1" customWidth="1"/>
    <col min="13069" max="13069" width="11.7109375" style="1" customWidth="1"/>
    <col min="13070" max="13080" width="12.140625" style="1" customWidth="1"/>
    <col min="13081" max="13130" width="12.140625" style="1" hidden="1" customWidth="1"/>
    <col min="13131" max="13312" width="12.140625" style="1" customWidth="1"/>
    <col min="13313" max="13313" width="4.00390625" style="1" customWidth="1"/>
    <col min="13314" max="13314" width="14.28125" style="1" customWidth="1"/>
    <col min="13315" max="13315" width="62.421875" style="1" customWidth="1"/>
    <col min="13316" max="13316" width="15.8515625" style="1" customWidth="1"/>
    <col min="13317" max="13317" width="10.8515625" style="1" customWidth="1"/>
    <col min="13318" max="13318" width="75.57421875" style="1" customWidth="1"/>
    <col min="13319" max="13319" width="5.8515625" style="1" customWidth="1"/>
    <col min="13320" max="13320" width="11.28125" style="1" customWidth="1"/>
    <col min="13321" max="13321" width="12.00390625" style="1" customWidth="1"/>
    <col min="13322" max="13322" width="10.28125" style="1" customWidth="1"/>
    <col min="13323" max="13323" width="12.00390625" style="1" customWidth="1"/>
    <col min="13324" max="13324" width="12.28125" style="1" customWidth="1"/>
    <col min="13325" max="13325" width="11.7109375" style="1" customWidth="1"/>
    <col min="13326" max="13336" width="12.140625" style="1" customWidth="1"/>
    <col min="13337" max="13386" width="12.140625" style="1" hidden="1" customWidth="1"/>
    <col min="13387" max="13568" width="12.140625" style="1" customWidth="1"/>
    <col min="13569" max="13569" width="4.00390625" style="1" customWidth="1"/>
    <col min="13570" max="13570" width="14.28125" style="1" customWidth="1"/>
    <col min="13571" max="13571" width="62.421875" style="1" customWidth="1"/>
    <col min="13572" max="13572" width="15.8515625" style="1" customWidth="1"/>
    <col min="13573" max="13573" width="10.8515625" style="1" customWidth="1"/>
    <col min="13574" max="13574" width="75.57421875" style="1" customWidth="1"/>
    <col min="13575" max="13575" width="5.8515625" style="1" customWidth="1"/>
    <col min="13576" max="13576" width="11.28125" style="1" customWidth="1"/>
    <col min="13577" max="13577" width="12.00390625" style="1" customWidth="1"/>
    <col min="13578" max="13578" width="10.28125" style="1" customWidth="1"/>
    <col min="13579" max="13579" width="12.00390625" style="1" customWidth="1"/>
    <col min="13580" max="13580" width="12.28125" style="1" customWidth="1"/>
    <col min="13581" max="13581" width="11.7109375" style="1" customWidth="1"/>
    <col min="13582" max="13592" width="12.140625" style="1" customWidth="1"/>
    <col min="13593" max="13642" width="12.140625" style="1" hidden="1" customWidth="1"/>
    <col min="13643" max="13824" width="12.140625" style="1" customWidth="1"/>
    <col min="13825" max="13825" width="4.00390625" style="1" customWidth="1"/>
    <col min="13826" max="13826" width="14.28125" style="1" customWidth="1"/>
    <col min="13827" max="13827" width="62.421875" style="1" customWidth="1"/>
    <col min="13828" max="13828" width="15.8515625" style="1" customWidth="1"/>
    <col min="13829" max="13829" width="10.8515625" style="1" customWidth="1"/>
    <col min="13830" max="13830" width="75.57421875" style="1" customWidth="1"/>
    <col min="13831" max="13831" width="5.8515625" style="1" customWidth="1"/>
    <col min="13832" max="13832" width="11.28125" style="1" customWidth="1"/>
    <col min="13833" max="13833" width="12.00390625" style="1" customWidth="1"/>
    <col min="13834" max="13834" width="10.28125" style="1" customWidth="1"/>
    <col min="13835" max="13835" width="12.00390625" style="1" customWidth="1"/>
    <col min="13836" max="13836" width="12.28125" style="1" customWidth="1"/>
    <col min="13837" max="13837" width="11.7109375" style="1" customWidth="1"/>
    <col min="13838" max="13848" width="12.140625" style="1" customWidth="1"/>
    <col min="13849" max="13898" width="12.140625" style="1" hidden="1" customWidth="1"/>
    <col min="13899" max="14080" width="12.140625" style="1" customWidth="1"/>
    <col min="14081" max="14081" width="4.00390625" style="1" customWidth="1"/>
    <col min="14082" max="14082" width="14.28125" style="1" customWidth="1"/>
    <col min="14083" max="14083" width="62.421875" style="1" customWidth="1"/>
    <col min="14084" max="14084" width="15.8515625" style="1" customWidth="1"/>
    <col min="14085" max="14085" width="10.8515625" style="1" customWidth="1"/>
    <col min="14086" max="14086" width="75.57421875" style="1" customWidth="1"/>
    <col min="14087" max="14087" width="5.8515625" style="1" customWidth="1"/>
    <col min="14088" max="14088" width="11.28125" style="1" customWidth="1"/>
    <col min="14089" max="14089" width="12.00390625" style="1" customWidth="1"/>
    <col min="14090" max="14090" width="10.28125" style="1" customWidth="1"/>
    <col min="14091" max="14091" width="12.00390625" style="1" customWidth="1"/>
    <col min="14092" max="14092" width="12.28125" style="1" customWidth="1"/>
    <col min="14093" max="14093" width="11.7109375" style="1" customWidth="1"/>
    <col min="14094" max="14104" width="12.140625" style="1" customWidth="1"/>
    <col min="14105" max="14154" width="12.140625" style="1" hidden="1" customWidth="1"/>
    <col min="14155" max="14336" width="12.140625" style="1" customWidth="1"/>
    <col min="14337" max="14337" width="4.00390625" style="1" customWidth="1"/>
    <col min="14338" max="14338" width="14.28125" style="1" customWidth="1"/>
    <col min="14339" max="14339" width="62.421875" style="1" customWidth="1"/>
    <col min="14340" max="14340" width="15.8515625" style="1" customWidth="1"/>
    <col min="14341" max="14341" width="10.8515625" style="1" customWidth="1"/>
    <col min="14342" max="14342" width="75.57421875" style="1" customWidth="1"/>
    <col min="14343" max="14343" width="5.8515625" style="1" customWidth="1"/>
    <col min="14344" max="14344" width="11.28125" style="1" customWidth="1"/>
    <col min="14345" max="14345" width="12.00390625" style="1" customWidth="1"/>
    <col min="14346" max="14346" width="10.28125" style="1" customWidth="1"/>
    <col min="14347" max="14347" width="12.00390625" style="1" customWidth="1"/>
    <col min="14348" max="14348" width="12.28125" style="1" customWidth="1"/>
    <col min="14349" max="14349" width="11.7109375" style="1" customWidth="1"/>
    <col min="14350" max="14360" width="12.140625" style="1" customWidth="1"/>
    <col min="14361" max="14410" width="12.140625" style="1" hidden="1" customWidth="1"/>
    <col min="14411" max="14592" width="12.140625" style="1" customWidth="1"/>
    <col min="14593" max="14593" width="4.00390625" style="1" customWidth="1"/>
    <col min="14594" max="14594" width="14.28125" style="1" customWidth="1"/>
    <col min="14595" max="14595" width="62.421875" style="1" customWidth="1"/>
    <col min="14596" max="14596" width="15.8515625" style="1" customWidth="1"/>
    <col min="14597" max="14597" width="10.8515625" style="1" customWidth="1"/>
    <col min="14598" max="14598" width="75.57421875" style="1" customWidth="1"/>
    <col min="14599" max="14599" width="5.8515625" style="1" customWidth="1"/>
    <col min="14600" max="14600" width="11.28125" style="1" customWidth="1"/>
    <col min="14601" max="14601" width="12.00390625" style="1" customWidth="1"/>
    <col min="14602" max="14602" width="10.28125" style="1" customWidth="1"/>
    <col min="14603" max="14603" width="12.00390625" style="1" customWidth="1"/>
    <col min="14604" max="14604" width="12.28125" style="1" customWidth="1"/>
    <col min="14605" max="14605" width="11.7109375" style="1" customWidth="1"/>
    <col min="14606" max="14616" width="12.140625" style="1" customWidth="1"/>
    <col min="14617" max="14666" width="12.140625" style="1" hidden="1" customWidth="1"/>
    <col min="14667" max="14848" width="12.140625" style="1" customWidth="1"/>
    <col min="14849" max="14849" width="4.00390625" style="1" customWidth="1"/>
    <col min="14850" max="14850" width="14.28125" style="1" customWidth="1"/>
    <col min="14851" max="14851" width="62.421875" style="1" customWidth="1"/>
    <col min="14852" max="14852" width="15.8515625" style="1" customWidth="1"/>
    <col min="14853" max="14853" width="10.8515625" style="1" customWidth="1"/>
    <col min="14854" max="14854" width="75.57421875" style="1" customWidth="1"/>
    <col min="14855" max="14855" width="5.8515625" style="1" customWidth="1"/>
    <col min="14856" max="14856" width="11.28125" style="1" customWidth="1"/>
    <col min="14857" max="14857" width="12.00390625" style="1" customWidth="1"/>
    <col min="14858" max="14858" width="10.28125" style="1" customWidth="1"/>
    <col min="14859" max="14859" width="12.00390625" style="1" customWidth="1"/>
    <col min="14860" max="14860" width="12.28125" style="1" customWidth="1"/>
    <col min="14861" max="14861" width="11.7109375" style="1" customWidth="1"/>
    <col min="14862" max="14872" width="12.140625" style="1" customWidth="1"/>
    <col min="14873" max="14922" width="12.140625" style="1" hidden="1" customWidth="1"/>
    <col min="14923" max="15104" width="12.140625" style="1" customWidth="1"/>
    <col min="15105" max="15105" width="4.00390625" style="1" customWidth="1"/>
    <col min="15106" max="15106" width="14.28125" style="1" customWidth="1"/>
    <col min="15107" max="15107" width="62.421875" style="1" customWidth="1"/>
    <col min="15108" max="15108" width="15.8515625" style="1" customWidth="1"/>
    <col min="15109" max="15109" width="10.8515625" style="1" customWidth="1"/>
    <col min="15110" max="15110" width="75.57421875" style="1" customWidth="1"/>
    <col min="15111" max="15111" width="5.8515625" style="1" customWidth="1"/>
    <col min="15112" max="15112" width="11.28125" style="1" customWidth="1"/>
    <col min="15113" max="15113" width="12.00390625" style="1" customWidth="1"/>
    <col min="15114" max="15114" width="10.28125" style="1" customWidth="1"/>
    <col min="15115" max="15115" width="12.00390625" style="1" customWidth="1"/>
    <col min="15116" max="15116" width="12.28125" style="1" customWidth="1"/>
    <col min="15117" max="15117" width="11.7109375" style="1" customWidth="1"/>
    <col min="15118" max="15128" width="12.140625" style="1" customWidth="1"/>
    <col min="15129" max="15178" width="12.140625" style="1" hidden="1" customWidth="1"/>
    <col min="15179" max="15360" width="12.140625" style="1" customWidth="1"/>
    <col min="15361" max="15361" width="4.00390625" style="1" customWidth="1"/>
    <col min="15362" max="15362" width="14.28125" style="1" customWidth="1"/>
    <col min="15363" max="15363" width="62.421875" style="1" customWidth="1"/>
    <col min="15364" max="15364" width="15.8515625" style="1" customWidth="1"/>
    <col min="15365" max="15365" width="10.8515625" style="1" customWidth="1"/>
    <col min="15366" max="15366" width="75.57421875" style="1" customWidth="1"/>
    <col min="15367" max="15367" width="5.8515625" style="1" customWidth="1"/>
    <col min="15368" max="15368" width="11.28125" style="1" customWidth="1"/>
    <col min="15369" max="15369" width="12.00390625" style="1" customWidth="1"/>
    <col min="15370" max="15370" width="10.28125" style="1" customWidth="1"/>
    <col min="15371" max="15371" width="12.00390625" style="1" customWidth="1"/>
    <col min="15372" max="15372" width="12.28125" style="1" customWidth="1"/>
    <col min="15373" max="15373" width="11.7109375" style="1" customWidth="1"/>
    <col min="15374" max="15384" width="12.140625" style="1" customWidth="1"/>
    <col min="15385" max="15434" width="12.140625" style="1" hidden="1" customWidth="1"/>
    <col min="15435" max="15616" width="12.140625" style="1" customWidth="1"/>
    <col min="15617" max="15617" width="4.00390625" style="1" customWidth="1"/>
    <col min="15618" max="15618" width="14.28125" style="1" customWidth="1"/>
    <col min="15619" max="15619" width="62.421875" style="1" customWidth="1"/>
    <col min="15620" max="15620" width="15.8515625" style="1" customWidth="1"/>
    <col min="15621" max="15621" width="10.8515625" style="1" customWidth="1"/>
    <col min="15622" max="15622" width="75.57421875" style="1" customWidth="1"/>
    <col min="15623" max="15623" width="5.8515625" style="1" customWidth="1"/>
    <col min="15624" max="15624" width="11.28125" style="1" customWidth="1"/>
    <col min="15625" max="15625" width="12.00390625" style="1" customWidth="1"/>
    <col min="15626" max="15626" width="10.28125" style="1" customWidth="1"/>
    <col min="15627" max="15627" width="12.00390625" style="1" customWidth="1"/>
    <col min="15628" max="15628" width="12.28125" style="1" customWidth="1"/>
    <col min="15629" max="15629" width="11.7109375" style="1" customWidth="1"/>
    <col min="15630" max="15640" width="12.140625" style="1" customWidth="1"/>
    <col min="15641" max="15690" width="12.140625" style="1" hidden="1" customWidth="1"/>
    <col min="15691" max="15872" width="12.140625" style="1" customWidth="1"/>
    <col min="15873" max="15873" width="4.00390625" style="1" customWidth="1"/>
    <col min="15874" max="15874" width="14.28125" style="1" customWidth="1"/>
    <col min="15875" max="15875" width="62.421875" style="1" customWidth="1"/>
    <col min="15876" max="15876" width="15.8515625" style="1" customWidth="1"/>
    <col min="15877" max="15877" width="10.8515625" style="1" customWidth="1"/>
    <col min="15878" max="15878" width="75.57421875" style="1" customWidth="1"/>
    <col min="15879" max="15879" width="5.8515625" style="1" customWidth="1"/>
    <col min="15880" max="15880" width="11.28125" style="1" customWidth="1"/>
    <col min="15881" max="15881" width="12.00390625" style="1" customWidth="1"/>
    <col min="15882" max="15882" width="10.28125" style="1" customWidth="1"/>
    <col min="15883" max="15883" width="12.00390625" style="1" customWidth="1"/>
    <col min="15884" max="15884" width="12.28125" style="1" customWidth="1"/>
    <col min="15885" max="15885" width="11.7109375" style="1" customWidth="1"/>
    <col min="15886" max="15896" width="12.140625" style="1" customWidth="1"/>
    <col min="15897" max="15946" width="12.140625" style="1" hidden="1" customWidth="1"/>
    <col min="15947" max="16128" width="12.140625" style="1" customWidth="1"/>
    <col min="16129" max="16129" width="4.00390625" style="1" customWidth="1"/>
    <col min="16130" max="16130" width="14.28125" style="1" customWidth="1"/>
    <col min="16131" max="16131" width="62.421875" style="1" customWidth="1"/>
    <col min="16132" max="16132" width="15.8515625" style="1" customWidth="1"/>
    <col min="16133" max="16133" width="10.8515625" style="1" customWidth="1"/>
    <col min="16134" max="16134" width="75.57421875" style="1" customWidth="1"/>
    <col min="16135" max="16135" width="5.8515625" style="1" customWidth="1"/>
    <col min="16136" max="16136" width="11.28125" style="1" customWidth="1"/>
    <col min="16137" max="16137" width="12.00390625" style="1" customWidth="1"/>
    <col min="16138" max="16138" width="10.28125" style="1" customWidth="1"/>
    <col min="16139" max="16139" width="12.00390625" style="1" customWidth="1"/>
    <col min="16140" max="16140" width="12.28125" style="1" customWidth="1"/>
    <col min="16141" max="16141" width="11.7109375" style="1" customWidth="1"/>
    <col min="16142" max="16152" width="12.140625" style="1" customWidth="1"/>
    <col min="16153" max="16202" width="12.140625" style="1" hidden="1" customWidth="1"/>
    <col min="16203" max="16384" width="12.140625" style="1" customWidth="1"/>
  </cols>
  <sheetData>
    <row r="1" spans="1:13" ht="54.75" customHeight="1">
      <c r="A1" s="136" t="str">
        <f>C4</f>
        <v>SO 402 – Veřejné osvětlení ul. Kotlářská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" customHeight="1">
      <c r="A2" s="137" t="s">
        <v>0</v>
      </c>
      <c r="B2" s="138"/>
      <c r="C2" s="139" t="s">
        <v>1</v>
      </c>
      <c r="D2" s="138" t="s">
        <v>2</v>
      </c>
      <c r="E2" s="138" t="s">
        <v>3</v>
      </c>
      <c r="F2" s="142" t="s">
        <v>4</v>
      </c>
      <c r="G2" s="142" t="s">
        <v>5</v>
      </c>
      <c r="H2" s="138"/>
      <c r="I2" s="138"/>
      <c r="J2" s="138"/>
      <c r="K2" s="138"/>
      <c r="L2" s="138"/>
      <c r="M2" s="143"/>
    </row>
    <row r="3" spans="1:13" ht="15" customHeight="1">
      <c r="A3" s="134"/>
      <c r="B3" s="115"/>
      <c r="C3" s="141"/>
      <c r="D3" s="115"/>
      <c r="E3" s="115"/>
      <c r="F3" s="115"/>
      <c r="G3" s="115"/>
      <c r="H3" s="115"/>
      <c r="I3" s="115"/>
      <c r="J3" s="115"/>
      <c r="K3" s="115"/>
      <c r="L3" s="115"/>
      <c r="M3" s="133"/>
    </row>
    <row r="4" spans="1:13" ht="15" customHeight="1">
      <c r="A4" s="129" t="s">
        <v>6</v>
      </c>
      <c r="B4" s="115"/>
      <c r="C4" s="114" t="s">
        <v>1284</v>
      </c>
      <c r="D4" s="115" t="s">
        <v>8</v>
      </c>
      <c r="E4" s="115"/>
      <c r="F4" s="114" t="s">
        <v>9</v>
      </c>
      <c r="G4" s="114" t="s">
        <v>1282</v>
      </c>
      <c r="H4" s="115"/>
      <c r="I4" s="115"/>
      <c r="J4" s="115"/>
      <c r="K4" s="115"/>
      <c r="L4" s="115"/>
      <c r="M4" s="133"/>
    </row>
    <row r="5" spans="1:13" ht="15" customHeight="1">
      <c r="A5" s="13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33"/>
    </row>
    <row r="6" spans="1:13" ht="15" customHeight="1">
      <c r="A6" s="129" t="s">
        <v>11</v>
      </c>
      <c r="B6" s="115"/>
      <c r="C6" s="114" t="s">
        <v>12</v>
      </c>
      <c r="D6" s="115" t="s">
        <v>13</v>
      </c>
      <c r="E6" s="115" t="s">
        <v>3</v>
      </c>
      <c r="F6" s="114" t="s">
        <v>14</v>
      </c>
      <c r="G6" s="115" t="s">
        <v>15</v>
      </c>
      <c r="H6" s="115"/>
      <c r="I6" s="115"/>
      <c r="J6" s="115"/>
      <c r="K6" s="115"/>
      <c r="L6" s="115"/>
      <c r="M6" s="133"/>
    </row>
    <row r="7" spans="1:13" ht="15" customHeight="1">
      <c r="A7" s="13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33"/>
    </row>
    <row r="8" spans="1:13" ht="15" customHeight="1">
      <c r="A8" s="129" t="s">
        <v>16</v>
      </c>
      <c r="B8" s="115"/>
      <c r="C8" s="114" t="s">
        <v>3</v>
      </c>
      <c r="D8" s="115" t="s">
        <v>17</v>
      </c>
      <c r="E8" s="115" t="s">
        <v>18</v>
      </c>
      <c r="F8" s="114" t="s">
        <v>19</v>
      </c>
      <c r="G8" s="114" t="s">
        <v>1280</v>
      </c>
      <c r="H8" s="115"/>
      <c r="I8" s="115"/>
      <c r="J8" s="115"/>
      <c r="K8" s="115"/>
      <c r="L8" s="115"/>
      <c r="M8" s="133"/>
    </row>
    <row r="9" spans="1:13" ht="15" customHeight="1" thickBot="1">
      <c r="A9" s="13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33"/>
    </row>
    <row r="10" spans="1:64" ht="15" customHeight="1">
      <c r="A10" s="5" t="s">
        <v>21</v>
      </c>
      <c r="B10" s="6" t="s">
        <v>22</v>
      </c>
      <c r="C10" s="145" t="s">
        <v>23</v>
      </c>
      <c r="D10" s="145"/>
      <c r="E10" s="145"/>
      <c r="F10" s="146"/>
      <c r="G10" s="6" t="s">
        <v>24</v>
      </c>
      <c r="H10" s="7" t="s">
        <v>25</v>
      </c>
      <c r="I10" s="8" t="s">
        <v>26</v>
      </c>
      <c r="J10" s="173" t="s">
        <v>27</v>
      </c>
      <c r="K10" s="174"/>
      <c r="L10" s="175"/>
      <c r="M10" s="9" t="s">
        <v>28</v>
      </c>
      <c r="BK10" s="10" t="s">
        <v>29</v>
      </c>
      <c r="BL10" s="11" t="s">
        <v>30</v>
      </c>
    </row>
    <row r="11" spans="1:62" ht="15" customHeight="1">
      <c r="A11" s="48" t="s">
        <v>3</v>
      </c>
      <c r="B11" s="4" t="s">
        <v>3</v>
      </c>
      <c r="C11" s="141" t="s">
        <v>31</v>
      </c>
      <c r="D11" s="141"/>
      <c r="E11" s="141"/>
      <c r="F11" s="176"/>
      <c r="G11" s="4" t="s">
        <v>3</v>
      </c>
      <c r="H11" s="4" t="s">
        <v>3</v>
      </c>
      <c r="I11" s="49" t="s">
        <v>32</v>
      </c>
      <c r="J11" s="50" t="s">
        <v>33</v>
      </c>
      <c r="K11" s="51" t="s">
        <v>34</v>
      </c>
      <c r="L11" s="52" t="s">
        <v>35</v>
      </c>
      <c r="M11" s="52" t="s">
        <v>36</v>
      </c>
      <c r="Z11" s="10" t="s">
        <v>37</v>
      </c>
      <c r="AA11" s="10" t="s">
        <v>38</v>
      </c>
      <c r="AB11" s="10" t="s">
        <v>39</v>
      </c>
      <c r="AC11" s="10" t="s">
        <v>40</v>
      </c>
      <c r="AD11" s="10" t="s">
        <v>41</v>
      </c>
      <c r="AE11" s="10" t="s">
        <v>42</v>
      </c>
      <c r="AF11" s="10" t="s">
        <v>43</v>
      </c>
      <c r="AG11" s="10" t="s">
        <v>44</v>
      </c>
      <c r="AH11" s="10" t="s">
        <v>45</v>
      </c>
      <c r="BH11" s="10" t="s">
        <v>46</v>
      </c>
      <c r="BI11" s="10" t="s">
        <v>47</v>
      </c>
      <c r="BJ11" s="10" t="s">
        <v>48</v>
      </c>
    </row>
    <row r="12" spans="1:47" ht="15" customHeight="1">
      <c r="A12" s="53" t="s">
        <v>49</v>
      </c>
      <c r="B12" s="54"/>
      <c r="C12" s="177" t="str">
        <f>C4</f>
        <v>SO 402 – Veřejné osvětlení ul. Kotlářská</v>
      </c>
      <c r="D12" s="177"/>
      <c r="E12" s="177"/>
      <c r="F12" s="177"/>
      <c r="G12" s="55" t="s">
        <v>3</v>
      </c>
      <c r="H12" s="55" t="s">
        <v>3</v>
      </c>
      <c r="I12" s="55" t="s">
        <v>3</v>
      </c>
      <c r="J12" s="56">
        <f>SUM(J13:J13)</f>
        <v>0</v>
      </c>
      <c r="K12" s="56">
        <f>SUM(K13:K13)</f>
        <v>0</v>
      </c>
      <c r="L12" s="56">
        <f>L13</f>
        <v>0</v>
      </c>
      <c r="M12" s="57" t="s">
        <v>49</v>
      </c>
      <c r="AI12" s="10" t="s">
        <v>49</v>
      </c>
      <c r="AS12" s="19">
        <f>SUM(AJ13:AJ13)</f>
        <v>0</v>
      </c>
      <c r="AT12" s="19">
        <f>SUM(AK13:AK13)</f>
        <v>0</v>
      </c>
      <c r="AU12" s="19">
        <f>SUM(AL13:AL13)</f>
        <v>0</v>
      </c>
    </row>
    <row r="13" spans="1:64" ht="15" customHeight="1">
      <c r="A13" s="58" t="s">
        <v>52</v>
      </c>
      <c r="B13" s="3"/>
      <c r="C13" s="115" t="str">
        <f>C4</f>
        <v>SO 402 – Veřejné osvětlení ul. Kotlářská</v>
      </c>
      <c r="D13" s="115"/>
      <c r="E13" s="115"/>
      <c r="F13" s="115"/>
      <c r="G13" s="3" t="s">
        <v>1185</v>
      </c>
      <c r="H13" s="20">
        <v>1</v>
      </c>
      <c r="I13" s="106"/>
      <c r="J13" s="20">
        <f>H13*AO13</f>
        <v>0</v>
      </c>
      <c r="K13" s="20">
        <f>H13*AP13</f>
        <v>0</v>
      </c>
      <c r="L13" s="20">
        <f>H13*I13</f>
        <v>0</v>
      </c>
      <c r="M13" s="59"/>
      <c r="Z13" s="20">
        <f>IF(AQ13="5",BJ13,0)</f>
        <v>0</v>
      </c>
      <c r="AB13" s="20">
        <f>IF(AQ13="1",BH13,0)</f>
        <v>0</v>
      </c>
      <c r="AC13" s="20">
        <f>IF(AQ13="1",BI13,0)</f>
        <v>0</v>
      </c>
      <c r="AD13" s="20">
        <f>IF(AQ13="7",BH13,0)</f>
        <v>0</v>
      </c>
      <c r="AE13" s="20">
        <f>IF(AQ13="7",BI13,0)</f>
        <v>0</v>
      </c>
      <c r="AF13" s="20">
        <f>IF(AQ13="2",BH13,0)</f>
        <v>0</v>
      </c>
      <c r="AG13" s="20">
        <f>IF(AQ13="2",BI13,0)</f>
        <v>0</v>
      </c>
      <c r="AH13" s="20">
        <f>IF(AQ13="0",BJ13,0)</f>
        <v>0</v>
      </c>
      <c r="AI13" s="10" t="s">
        <v>49</v>
      </c>
      <c r="AJ13" s="20">
        <f>IF(AN13=0,L13,0)</f>
        <v>0</v>
      </c>
      <c r="AK13" s="20">
        <f>IF(AN13=15,L13,0)</f>
        <v>0</v>
      </c>
      <c r="AL13" s="20">
        <f>IF(AN13=21,L13,0)</f>
        <v>0</v>
      </c>
      <c r="AN13" s="20">
        <v>21</v>
      </c>
      <c r="AO13" s="20">
        <f>I13*0</f>
        <v>0</v>
      </c>
      <c r="AP13" s="20">
        <f>I13*(1-0)</f>
        <v>0</v>
      </c>
      <c r="AQ13" s="21" t="s">
        <v>52</v>
      </c>
      <c r="AV13" s="20">
        <f>AW13+AX13</f>
        <v>0</v>
      </c>
      <c r="AW13" s="20">
        <f>H13*AO13</f>
        <v>0</v>
      </c>
      <c r="AX13" s="20">
        <f>H13*AP13</f>
        <v>0</v>
      </c>
      <c r="AY13" s="21" t="s">
        <v>56</v>
      </c>
      <c r="AZ13" s="21" t="s">
        <v>57</v>
      </c>
      <c r="BA13" s="10" t="s">
        <v>58</v>
      </c>
      <c r="BC13" s="20">
        <f>AW13+AX13</f>
        <v>0</v>
      </c>
      <c r="BD13" s="20">
        <f>I13/(100-BE13)*100</f>
        <v>0</v>
      </c>
      <c r="BE13" s="20">
        <v>0</v>
      </c>
      <c r="BF13" s="20">
        <f>13</f>
        <v>13</v>
      </c>
      <c r="BH13" s="20">
        <f>H13*AO13</f>
        <v>0</v>
      </c>
      <c r="BI13" s="20">
        <f>H13*AP13</f>
        <v>0</v>
      </c>
      <c r="BJ13" s="20">
        <f>H13*I13</f>
        <v>0</v>
      </c>
      <c r="BK13" s="20"/>
      <c r="BL13" s="20">
        <v>11</v>
      </c>
    </row>
    <row r="14" spans="1:13" ht="15" customHeight="1">
      <c r="A14" s="60"/>
      <c r="B14" s="61"/>
      <c r="C14" s="61"/>
      <c r="D14" s="61"/>
      <c r="E14" s="61"/>
      <c r="F14" s="61"/>
      <c r="G14" s="61"/>
      <c r="H14" s="61"/>
      <c r="I14" s="61"/>
      <c r="J14" s="172" t="s">
        <v>1081</v>
      </c>
      <c r="K14" s="172"/>
      <c r="L14" s="62">
        <f>L13</f>
        <v>0</v>
      </c>
      <c r="M14" s="63"/>
    </row>
  </sheetData>
  <sheetProtection algorithmName="SHA-512" hashValue="h/RQ01dc065xOk6a7n7+Qmm36I0mfCOZQscflLWdejqt+aO3yHk4SAlnzTaZevmcCLSEh81Ap+ozS3ptBKyUMg==" saltValue="w15/94qT/RLULcXTnjPHxg==" spinCount="100000" sheet="1" objects="1" scenarios="1"/>
  <mergeCells count="31">
    <mergeCell ref="A1:M1"/>
    <mergeCell ref="A2:B3"/>
    <mergeCell ref="C2:C3"/>
    <mergeCell ref="D2:D3"/>
    <mergeCell ref="E2:E3"/>
    <mergeCell ref="F2:F3"/>
    <mergeCell ref="G2:M3"/>
    <mergeCell ref="G6:M7"/>
    <mergeCell ref="A4:B5"/>
    <mergeCell ref="C4:C5"/>
    <mergeCell ref="D4:D5"/>
    <mergeCell ref="E4:E5"/>
    <mergeCell ref="F4:F5"/>
    <mergeCell ref="G4:M5"/>
    <mergeCell ref="A6:B7"/>
    <mergeCell ref="C6:C7"/>
    <mergeCell ref="D6:D7"/>
    <mergeCell ref="E6:E7"/>
    <mergeCell ref="F6:F7"/>
    <mergeCell ref="J14:K14"/>
    <mergeCell ref="A8:B9"/>
    <mergeCell ref="C8:C9"/>
    <mergeCell ref="D8:D9"/>
    <mergeCell ref="E8:E9"/>
    <mergeCell ref="F8:F9"/>
    <mergeCell ref="G8:M9"/>
    <mergeCell ref="C10:F10"/>
    <mergeCell ref="J10:L10"/>
    <mergeCell ref="C11:F11"/>
    <mergeCell ref="C12:F12"/>
    <mergeCell ref="C13:F1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"/>
  <sheetViews>
    <sheetView workbookViewId="0" topLeftCell="A1">
      <selection activeCell="C13" sqref="C13:F13"/>
    </sheetView>
  </sheetViews>
  <sheetFormatPr defaultColWidth="12.140625" defaultRowHeight="15"/>
  <cols>
    <col min="1" max="1" width="4.00390625" style="1" customWidth="1"/>
    <col min="2" max="2" width="14.28125" style="1" customWidth="1"/>
    <col min="3" max="3" width="62.421875" style="1" customWidth="1"/>
    <col min="4" max="4" width="15.8515625" style="1" customWidth="1"/>
    <col min="5" max="5" width="10.8515625" style="1" customWidth="1"/>
    <col min="6" max="6" width="75.57421875" style="1" customWidth="1"/>
    <col min="7" max="7" width="5.8515625" style="1" customWidth="1"/>
    <col min="8" max="8" width="11.28125" style="1" customWidth="1"/>
    <col min="9" max="9" width="12.00390625" style="1" customWidth="1"/>
    <col min="10" max="10" width="10.28125" style="1" customWidth="1"/>
    <col min="11" max="11" width="12.00390625" style="1" customWidth="1"/>
    <col min="12" max="12" width="12.28125" style="1" customWidth="1"/>
    <col min="13" max="13" width="11.7109375" style="1" customWidth="1"/>
    <col min="14" max="24" width="12.140625" style="1" customWidth="1"/>
    <col min="25" max="74" width="12.140625" style="1" hidden="1" customWidth="1"/>
    <col min="75" max="256" width="12.140625" style="1" customWidth="1"/>
    <col min="257" max="257" width="4.00390625" style="1" customWidth="1"/>
    <col min="258" max="258" width="14.28125" style="1" customWidth="1"/>
    <col min="259" max="259" width="62.421875" style="1" customWidth="1"/>
    <col min="260" max="260" width="15.8515625" style="1" customWidth="1"/>
    <col min="261" max="261" width="10.8515625" style="1" customWidth="1"/>
    <col min="262" max="262" width="75.57421875" style="1" customWidth="1"/>
    <col min="263" max="263" width="5.8515625" style="1" customWidth="1"/>
    <col min="264" max="264" width="11.28125" style="1" customWidth="1"/>
    <col min="265" max="265" width="12.00390625" style="1" customWidth="1"/>
    <col min="266" max="266" width="10.28125" style="1" customWidth="1"/>
    <col min="267" max="267" width="12.00390625" style="1" customWidth="1"/>
    <col min="268" max="268" width="12.28125" style="1" customWidth="1"/>
    <col min="269" max="269" width="11.7109375" style="1" customWidth="1"/>
    <col min="270" max="280" width="12.140625" style="1" customWidth="1"/>
    <col min="281" max="330" width="12.140625" style="1" hidden="1" customWidth="1"/>
    <col min="331" max="512" width="12.140625" style="1" customWidth="1"/>
    <col min="513" max="513" width="4.00390625" style="1" customWidth="1"/>
    <col min="514" max="514" width="14.28125" style="1" customWidth="1"/>
    <col min="515" max="515" width="62.421875" style="1" customWidth="1"/>
    <col min="516" max="516" width="15.8515625" style="1" customWidth="1"/>
    <col min="517" max="517" width="10.8515625" style="1" customWidth="1"/>
    <col min="518" max="518" width="75.57421875" style="1" customWidth="1"/>
    <col min="519" max="519" width="5.8515625" style="1" customWidth="1"/>
    <col min="520" max="520" width="11.28125" style="1" customWidth="1"/>
    <col min="521" max="521" width="12.00390625" style="1" customWidth="1"/>
    <col min="522" max="522" width="10.28125" style="1" customWidth="1"/>
    <col min="523" max="523" width="12.00390625" style="1" customWidth="1"/>
    <col min="524" max="524" width="12.28125" style="1" customWidth="1"/>
    <col min="525" max="525" width="11.7109375" style="1" customWidth="1"/>
    <col min="526" max="536" width="12.140625" style="1" customWidth="1"/>
    <col min="537" max="586" width="12.140625" style="1" hidden="1" customWidth="1"/>
    <col min="587" max="768" width="12.140625" style="1" customWidth="1"/>
    <col min="769" max="769" width="4.00390625" style="1" customWidth="1"/>
    <col min="770" max="770" width="14.28125" style="1" customWidth="1"/>
    <col min="771" max="771" width="62.421875" style="1" customWidth="1"/>
    <col min="772" max="772" width="15.8515625" style="1" customWidth="1"/>
    <col min="773" max="773" width="10.8515625" style="1" customWidth="1"/>
    <col min="774" max="774" width="75.57421875" style="1" customWidth="1"/>
    <col min="775" max="775" width="5.8515625" style="1" customWidth="1"/>
    <col min="776" max="776" width="11.28125" style="1" customWidth="1"/>
    <col min="777" max="777" width="12.00390625" style="1" customWidth="1"/>
    <col min="778" max="778" width="10.28125" style="1" customWidth="1"/>
    <col min="779" max="779" width="12.00390625" style="1" customWidth="1"/>
    <col min="780" max="780" width="12.28125" style="1" customWidth="1"/>
    <col min="781" max="781" width="11.7109375" style="1" customWidth="1"/>
    <col min="782" max="792" width="12.140625" style="1" customWidth="1"/>
    <col min="793" max="842" width="12.140625" style="1" hidden="1" customWidth="1"/>
    <col min="843" max="1024" width="12.140625" style="1" customWidth="1"/>
    <col min="1025" max="1025" width="4.00390625" style="1" customWidth="1"/>
    <col min="1026" max="1026" width="14.28125" style="1" customWidth="1"/>
    <col min="1027" max="1027" width="62.421875" style="1" customWidth="1"/>
    <col min="1028" max="1028" width="15.8515625" style="1" customWidth="1"/>
    <col min="1029" max="1029" width="10.8515625" style="1" customWidth="1"/>
    <col min="1030" max="1030" width="75.57421875" style="1" customWidth="1"/>
    <col min="1031" max="1031" width="5.8515625" style="1" customWidth="1"/>
    <col min="1032" max="1032" width="11.28125" style="1" customWidth="1"/>
    <col min="1033" max="1033" width="12.00390625" style="1" customWidth="1"/>
    <col min="1034" max="1034" width="10.28125" style="1" customWidth="1"/>
    <col min="1035" max="1035" width="12.00390625" style="1" customWidth="1"/>
    <col min="1036" max="1036" width="12.28125" style="1" customWidth="1"/>
    <col min="1037" max="1037" width="11.7109375" style="1" customWidth="1"/>
    <col min="1038" max="1048" width="12.140625" style="1" customWidth="1"/>
    <col min="1049" max="1098" width="12.140625" style="1" hidden="1" customWidth="1"/>
    <col min="1099" max="1280" width="12.140625" style="1" customWidth="1"/>
    <col min="1281" max="1281" width="4.00390625" style="1" customWidth="1"/>
    <col min="1282" max="1282" width="14.28125" style="1" customWidth="1"/>
    <col min="1283" max="1283" width="62.421875" style="1" customWidth="1"/>
    <col min="1284" max="1284" width="15.8515625" style="1" customWidth="1"/>
    <col min="1285" max="1285" width="10.8515625" style="1" customWidth="1"/>
    <col min="1286" max="1286" width="75.57421875" style="1" customWidth="1"/>
    <col min="1287" max="1287" width="5.8515625" style="1" customWidth="1"/>
    <col min="1288" max="1288" width="11.28125" style="1" customWidth="1"/>
    <col min="1289" max="1289" width="12.00390625" style="1" customWidth="1"/>
    <col min="1290" max="1290" width="10.28125" style="1" customWidth="1"/>
    <col min="1291" max="1291" width="12.00390625" style="1" customWidth="1"/>
    <col min="1292" max="1292" width="12.28125" style="1" customWidth="1"/>
    <col min="1293" max="1293" width="11.7109375" style="1" customWidth="1"/>
    <col min="1294" max="1304" width="12.140625" style="1" customWidth="1"/>
    <col min="1305" max="1354" width="12.140625" style="1" hidden="1" customWidth="1"/>
    <col min="1355" max="1536" width="12.140625" style="1" customWidth="1"/>
    <col min="1537" max="1537" width="4.00390625" style="1" customWidth="1"/>
    <col min="1538" max="1538" width="14.28125" style="1" customWidth="1"/>
    <col min="1539" max="1539" width="62.421875" style="1" customWidth="1"/>
    <col min="1540" max="1540" width="15.8515625" style="1" customWidth="1"/>
    <col min="1541" max="1541" width="10.8515625" style="1" customWidth="1"/>
    <col min="1542" max="1542" width="75.57421875" style="1" customWidth="1"/>
    <col min="1543" max="1543" width="5.8515625" style="1" customWidth="1"/>
    <col min="1544" max="1544" width="11.28125" style="1" customWidth="1"/>
    <col min="1545" max="1545" width="12.00390625" style="1" customWidth="1"/>
    <col min="1546" max="1546" width="10.28125" style="1" customWidth="1"/>
    <col min="1547" max="1547" width="12.00390625" style="1" customWidth="1"/>
    <col min="1548" max="1548" width="12.28125" style="1" customWidth="1"/>
    <col min="1549" max="1549" width="11.7109375" style="1" customWidth="1"/>
    <col min="1550" max="1560" width="12.140625" style="1" customWidth="1"/>
    <col min="1561" max="1610" width="12.140625" style="1" hidden="1" customWidth="1"/>
    <col min="1611" max="1792" width="12.140625" style="1" customWidth="1"/>
    <col min="1793" max="1793" width="4.00390625" style="1" customWidth="1"/>
    <col min="1794" max="1794" width="14.28125" style="1" customWidth="1"/>
    <col min="1795" max="1795" width="62.421875" style="1" customWidth="1"/>
    <col min="1796" max="1796" width="15.8515625" style="1" customWidth="1"/>
    <col min="1797" max="1797" width="10.8515625" style="1" customWidth="1"/>
    <col min="1798" max="1798" width="75.57421875" style="1" customWidth="1"/>
    <col min="1799" max="1799" width="5.8515625" style="1" customWidth="1"/>
    <col min="1800" max="1800" width="11.28125" style="1" customWidth="1"/>
    <col min="1801" max="1801" width="12.00390625" style="1" customWidth="1"/>
    <col min="1802" max="1802" width="10.28125" style="1" customWidth="1"/>
    <col min="1803" max="1803" width="12.00390625" style="1" customWidth="1"/>
    <col min="1804" max="1804" width="12.28125" style="1" customWidth="1"/>
    <col min="1805" max="1805" width="11.7109375" style="1" customWidth="1"/>
    <col min="1806" max="1816" width="12.140625" style="1" customWidth="1"/>
    <col min="1817" max="1866" width="12.140625" style="1" hidden="1" customWidth="1"/>
    <col min="1867" max="2048" width="12.140625" style="1" customWidth="1"/>
    <col min="2049" max="2049" width="4.00390625" style="1" customWidth="1"/>
    <col min="2050" max="2050" width="14.28125" style="1" customWidth="1"/>
    <col min="2051" max="2051" width="62.421875" style="1" customWidth="1"/>
    <col min="2052" max="2052" width="15.8515625" style="1" customWidth="1"/>
    <col min="2053" max="2053" width="10.8515625" style="1" customWidth="1"/>
    <col min="2054" max="2054" width="75.57421875" style="1" customWidth="1"/>
    <col min="2055" max="2055" width="5.8515625" style="1" customWidth="1"/>
    <col min="2056" max="2056" width="11.28125" style="1" customWidth="1"/>
    <col min="2057" max="2057" width="12.00390625" style="1" customWidth="1"/>
    <col min="2058" max="2058" width="10.28125" style="1" customWidth="1"/>
    <col min="2059" max="2059" width="12.00390625" style="1" customWidth="1"/>
    <col min="2060" max="2060" width="12.28125" style="1" customWidth="1"/>
    <col min="2061" max="2061" width="11.7109375" style="1" customWidth="1"/>
    <col min="2062" max="2072" width="12.140625" style="1" customWidth="1"/>
    <col min="2073" max="2122" width="12.140625" style="1" hidden="1" customWidth="1"/>
    <col min="2123" max="2304" width="12.140625" style="1" customWidth="1"/>
    <col min="2305" max="2305" width="4.00390625" style="1" customWidth="1"/>
    <col min="2306" max="2306" width="14.28125" style="1" customWidth="1"/>
    <col min="2307" max="2307" width="62.421875" style="1" customWidth="1"/>
    <col min="2308" max="2308" width="15.8515625" style="1" customWidth="1"/>
    <col min="2309" max="2309" width="10.8515625" style="1" customWidth="1"/>
    <col min="2310" max="2310" width="75.57421875" style="1" customWidth="1"/>
    <col min="2311" max="2311" width="5.8515625" style="1" customWidth="1"/>
    <col min="2312" max="2312" width="11.28125" style="1" customWidth="1"/>
    <col min="2313" max="2313" width="12.00390625" style="1" customWidth="1"/>
    <col min="2314" max="2314" width="10.28125" style="1" customWidth="1"/>
    <col min="2315" max="2315" width="12.00390625" style="1" customWidth="1"/>
    <col min="2316" max="2316" width="12.28125" style="1" customWidth="1"/>
    <col min="2317" max="2317" width="11.7109375" style="1" customWidth="1"/>
    <col min="2318" max="2328" width="12.140625" style="1" customWidth="1"/>
    <col min="2329" max="2378" width="12.140625" style="1" hidden="1" customWidth="1"/>
    <col min="2379" max="2560" width="12.140625" style="1" customWidth="1"/>
    <col min="2561" max="2561" width="4.00390625" style="1" customWidth="1"/>
    <col min="2562" max="2562" width="14.28125" style="1" customWidth="1"/>
    <col min="2563" max="2563" width="62.421875" style="1" customWidth="1"/>
    <col min="2564" max="2564" width="15.8515625" style="1" customWidth="1"/>
    <col min="2565" max="2565" width="10.8515625" style="1" customWidth="1"/>
    <col min="2566" max="2566" width="75.57421875" style="1" customWidth="1"/>
    <col min="2567" max="2567" width="5.8515625" style="1" customWidth="1"/>
    <col min="2568" max="2568" width="11.28125" style="1" customWidth="1"/>
    <col min="2569" max="2569" width="12.00390625" style="1" customWidth="1"/>
    <col min="2570" max="2570" width="10.28125" style="1" customWidth="1"/>
    <col min="2571" max="2571" width="12.00390625" style="1" customWidth="1"/>
    <col min="2572" max="2572" width="12.28125" style="1" customWidth="1"/>
    <col min="2573" max="2573" width="11.7109375" style="1" customWidth="1"/>
    <col min="2574" max="2584" width="12.140625" style="1" customWidth="1"/>
    <col min="2585" max="2634" width="12.140625" style="1" hidden="1" customWidth="1"/>
    <col min="2635" max="2816" width="12.140625" style="1" customWidth="1"/>
    <col min="2817" max="2817" width="4.00390625" style="1" customWidth="1"/>
    <col min="2818" max="2818" width="14.28125" style="1" customWidth="1"/>
    <col min="2819" max="2819" width="62.421875" style="1" customWidth="1"/>
    <col min="2820" max="2820" width="15.8515625" style="1" customWidth="1"/>
    <col min="2821" max="2821" width="10.8515625" style="1" customWidth="1"/>
    <col min="2822" max="2822" width="75.57421875" style="1" customWidth="1"/>
    <col min="2823" max="2823" width="5.8515625" style="1" customWidth="1"/>
    <col min="2824" max="2824" width="11.28125" style="1" customWidth="1"/>
    <col min="2825" max="2825" width="12.00390625" style="1" customWidth="1"/>
    <col min="2826" max="2826" width="10.28125" style="1" customWidth="1"/>
    <col min="2827" max="2827" width="12.00390625" style="1" customWidth="1"/>
    <col min="2828" max="2828" width="12.28125" style="1" customWidth="1"/>
    <col min="2829" max="2829" width="11.7109375" style="1" customWidth="1"/>
    <col min="2830" max="2840" width="12.140625" style="1" customWidth="1"/>
    <col min="2841" max="2890" width="12.140625" style="1" hidden="1" customWidth="1"/>
    <col min="2891" max="3072" width="12.140625" style="1" customWidth="1"/>
    <col min="3073" max="3073" width="4.00390625" style="1" customWidth="1"/>
    <col min="3074" max="3074" width="14.28125" style="1" customWidth="1"/>
    <col min="3075" max="3075" width="62.421875" style="1" customWidth="1"/>
    <col min="3076" max="3076" width="15.8515625" style="1" customWidth="1"/>
    <col min="3077" max="3077" width="10.8515625" style="1" customWidth="1"/>
    <col min="3078" max="3078" width="75.57421875" style="1" customWidth="1"/>
    <col min="3079" max="3079" width="5.8515625" style="1" customWidth="1"/>
    <col min="3080" max="3080" width="11.28125" style="1" customWidth="1"/>
    <col min="3081" max="3081" width="12.00390625" style="1" customWidth="1"/>
    <col min="3082" max="3082" width="10.28125" style="1" customWidth="1"/>
    <col min="3083" max="3083" width="12.00390625" style="1" customWidth="1"/>
    <col min="3084" max="3084" width="12.28125" style="1" customWidth="1"/>
    <col min="3085" max="3085" width="11.7109375" style="1" customWidth="1"/>
    <col min="3086" max="3096" width="12.140625" style="1" customWidth="1"/>
    <col min="3097" max="3146" width="12.140625" style="1" hidden="1" customWidth="1"/>
    <col min="3147" max="3328" width="12.140625" style="1" customWidth="1"/>
    <col min="3329" max="3329" width="4.00390625" style="1" customWidth="1"/>
    <col min="3330" max="3330" width="14.28125" style="1" customWidth="1"/>
    <col min="3331" max="3331" width="62.421875" style="1" customWidth="1"/>
    <col min="3332" max="3332" width="15.8515625" style="1" customWidth="1"/>
    <col min="3333" max="3333" width="10.8515625" style="1" customWidth="1"/>
    <col min="3334" max="3334" width="75.57421875" style="1" customWidth="1"/>
    <col min="3335" max="3335" width="5.8515625" style="1" customWidth="1"/>
    <col min="3336" max="3336" width="11.28125" style="1" customWidth="1"/>
    <col min="3337" max="3337" width="12.00390625" style="1" customWidth="1"/>
    <col min="3338" max="3338" width="10.28125" style="1" customWidth="1"/>
    <col min="3339" max="3339" width="12.00390625" style="1" customWidth="1"/>
    <col min="3340" max="3340" width="12.28125" style="1" customWidth="1"/>
    <col min="3341" max="3341" width="11.7109375" style="1" customWidth="1"/>
    <col min="3342" max="3352" width="12.140625" style="1" customWidth="1"/>
    <col min="3353" max="3402" width="12.140625" style="1" hidden="1" customWidth="1"/>
    <col min="3403" max="3584" width="12.140625" style="1" customWidth="1"/>
    <col min="3585" max="3585" width="4.00390625" style="1" customWidth="1"/>
    <col min="3586" max="3586" width="14.28125" style="1" customWidth="1"/>
    <col min="3587" max="3587" width="62.421875" style="1" customWidth="1"/>
    <col min="3588" max="3588" width="15.8515625" style="1" customWidth="1"/>
    <col min="3589" max="3589" width="10.8515625" style="1" customWidth="1"/>
    <col min="3590" max="3590" width="75.57421875" style="1" customWidth="1"/>
    <col min="3591" max="3591" width="5.8515625" style="1" customWidth="1"/>
    <col min="3592" max="3592" width="11.28125" style="1" customWidth="1"/>
    <col min="3593" max="3593" width="12.00390625" style="1" customWidth="1"/>
    <col min="3594" max="3594" width="10.28125" style="1" customWidth="1"/>
    <col min="3595" max="3595" width="12.00390625" style="1" customWidth="1"/>
    <col min="3596" max="3596" width="12.28125" style="1" customWidth="1"/>
    <col min="3597" max="3597" width="11.7109375" style="1" customWidth="1"/>
    <col min="3598" max="3608" width="12.140625" style="1" customWidth="1"/>
    <col min="3609" max="3658" width="12.140625" style="1" hidden="1" customWidth="1"/>
    <col min="3659" max="3840" width="12.140625" style="1" customWidth="1"/>
    <col min="3841" max="3841" width="4.00390625" style="1" customWidth="1"/>
    <col min="3842" max="3842" width="14.28125" style="1" customWidth="1"/>
    <col min="3843" max="3843" width="62.421875" style="1" customWidth="1"/>
    <col min="3844" max="3844" width="15.8515625" style="1" customWidth="1"/>
    <col min="3845" max="3845" width="10.8515625" style="1" customWidth="1"/>
    <col min="3846" max="3846" width="75.57421875" style="1" customWidth="1"/>
    <col min="3847" max="3847" width="5.8515625" style="1" customWidth="1"/>
    <col min="3848" max="3848" width="11.28125" style="1" customWidth="1"/>
    <col min="3849" max="3849" width="12.00390625" style="1" customWidth="1"/>
    <col min="3850" max="3850" width="10.28125" style="1" customWidth="1"/>
    <col min="3851" max="3851" width="12.00390625" style="1" customWidth="1"/>
    <col min="3852" max="3852" width="12.28125" style="1" customWidth="1"/>
    <col min="3853" max="3853" width="11.7109375" style="1" customWidth="1"/>
    <col min="3854" max="3864" width="12.140625" style="1" customWidth="1"/>
    <col min="3865" max="3914" width="12.140625" style="1" hidden="1" customWidth="1"/>
    <col min="3915" max="4096" width="12.140625" style="1" customWidth="1"/>
    <col min="4097" max="4097" width="4.00390625" style="1" customWidth="1"/>
    <col min="4098" max="4098" width="14.28125" style="1" customWidth="1"/>
    <col min="4099" max="4099" width="62.421875" style="1" customWidth="1"/>
    <col min="4100" max="4100" width="15.8515625" style="1" customWidth="1"/>
    <col min="4101" max="4101" width="10.8515625" style="1" customWidth="1"/>
    <col min="4102" max="4102" width="75.57421875" style="1" customWidth="1"/>
    <col min="4103" max="4103" width="5.8515625" style="1" customWidth="1"/>
    <col min="4104" max="4104" width="11.28125" style="1" customWidth="1"/>
    <col min="4105" max="4105" width="12.00390625" style="1" customWidth="1"/>
    <col min="4106" max="4106" width="10.28125" style="1" customWidth="1"/>
    <col min="4107" max="4107" width="12.00390625" style="1" customWidth="1"/>
    <col min="4108" max="4108" width="12.28125" style="1" customWidth="1"/>
    <col min="4109" max="4109" width="11.7109375" style="1" customWidth="1"/>
    <col min="4110" max="4120" width="12.140625" style="1" customWidth="1"/>
    <col min="4121" max="4170" width="12.140625" style="1" hidden="1" customWidth="1"/>
    <col min="4171" max="4352" width="12.140625" style="1" customWidth="1"/>
    <col min="4353" max="4353" width="4.00390625" style="1" customWidth="1"/>
    <col min="4354" max="4354" width="14.28125" style="1" customWidth="1"/>
    <col min="4355" max="4355" width="62.421875" style="1" customWidth="1"/>
    <col min="4356" max="4356" width="15.8515625" style="1" customWidth="1"/>
    <col min="4357" max="4357" width="10.8515625" style="1" customWidth="1"/>
    <col min="4358" max="4358" width="75.57421875" style="1" customWidth="1"/>
    <col min="4359" max="4359" width="5.8515625" style="1" customWidth="1"/>
    <col min="4360" max="4360" width="11.28125" style="1" customWidth="1"/>
    <col min="4361" max="4361" width="12.00390625" style="1" customWidth="1"/>
    <col min="4362" max="4362" width="10.28125" style="1" customWidth="1"/>
    <col min="4363" max="4363" width="12.00390625" style="1" customWidth="1"/>
    <col min="4364" max="4364" width="12.28125" style="1" customWidth="1"/>
    <col min="4365" max="4365" width="11.7109375" style="1" customWidth="1"/>
    <col min="4366" max="4376" width="12.140625" style="1" customWidth="1"/>
    <col min="4377" max="4426" width="12.140625" style="1" hidden="1" customWidth="1"/>
    <col min="4427" max="4608" width="12.140625" style="1" customWidth="1"/>
    <col min="4609" max="4609" width="4.00390625" style="1" customWidth="1"/>
    <col min="4610" max="4610" width="14.28125" style="1" customWidth="1"/>
    <col min="4611" max="4611" width="62.421875" style="1" customWidth="1"/>
    <col min="4612" max="4612" width="15.8515625" style="1" customWidth="1"/>
    <col min="4613" max="4613" width="10.8515625" style="1" customWidth="1"/>
    <col min="4614" max="4614" width="75.57421875" style="1" customWidth="1"/>
    <col min="4615" max="4615" width="5.8515625" style="1" customWidth="1"/>
    <col min="4616" max="4616" width="11.28125" style="1" customWidth="1"/>
    <col min="4617" max="4617" width="12.00390625" style="1" customWidth="1"/>
    <col min="4618" max="4618" width="10.28125" style="1" customWidth="1"/>
    <col min="4619" max="4619" width="12.00390625" style="1" customWidth="1"/>
    <col min="4620" max="4620" width="12.28125" style="1" customWidth="1"/>
    <col min="4621" max="4621" width="11.7109375" style="1" customWidth="1"/>
    <col min="4622" max="4632" width="12.140625" style="1" customWidth="1"/>
    <col min="4633" max="4682" width="12.140625" style="1" hidden="1" customWidth="1"/>
    <col min="4683" max="4864" width="12.140625" style="1" customWidth="1"/>
    <col min="4865" max="4865" width="4.00390625" style="1" customWidth="1"/>
    <col min="4866" max="4866" width="14.28125" style="1" customWidth="1"/>
    <col min="4867" max="4867" width="62.421875" style="1" customWidth="1"/>
    <col min="4868" max="4868" width="15.8515625" style="1" customWidth="1"/>
    <col min="4869" max="4869" width="10.8515625" style="1" customWidth="1"/>
    <col min="4870" max="4870" width="75.57421875" style="1" customWidth="1"/>
    <col min="4871" max="4871" width="5.8515625" style="1" customWidth="1"/>
    <col min="4872" max="4872" width="11.28125" style="1" customWidth="1"/>
    <col min="4873" max="4873" width="12.00390625" style="1" customWidth="1"/>
    <col min="4874" max="4874" width="10.28125" style="1" customWidth="1"/>
    <col min="4875" max="4875" width="12.00390625" style="1" customWidth="1"/>
    <col min="4876" max="4876" width="12.28125" style="1" customWidth="1"/>
    <col min="4877" max="4877" width="11.7109375" style="1" customWidth="1"/>
    <col min="4878" max="4888" width="12.140625" style="1" customWidth="1"/>
    <col min="4889" max="4938" width="12.140625" style="1" hidden="1" customWidth="1"/>
    <col min="4939" max="5120" width="12.140625" style="1" customWidth="1"/>
    <col min="5121" max="5121" width="4.00390625" style="1" customWidth="1"/>
    <col min="5122" max="5122" width="14.28125" style="1" customWidth="1"/>
    <col min="5123" max="5123" width="62.421875" style="1" customWidth="1"/>
    <col min="5124" max="5124" width="15.8515625" style="1" customWidth="1"/>
    <col min="5125" max="5125" width="10.8515625" style="1" customWidth="1"/>
    <col min="5126" max="5126" width="75.57421875" style="1" customWidth="1"/>
    <col min="5127" max="5127" width="5.8515625" style="1" customWidth="1"/>
    <col min="5128" max="5128" width="11.28125" style="1" customWidth="1"/>
    <col min="5129" max="5129" width="12.00390625" style="1" customWidth="1"/>
    <col min="5130" max="5130" width="10.28125" style="1" customWidth="1"/>
    <col min="5131" max="5131" width="12.00390625" style="1" customWidth="1"/>
    <col min="5132" max="5132" width="12.28125" style="1" customWidth="1"/>
    <col min="5133" max="5133" width="11.7109375" style="1" customWidth="1"/>
    <col min="5134" max="5144" width="12.140625" style="1" customWidth="1"/>
    <col min="5145" max="5194" width="12.140625" style="1" hidden="1" customWidth="1"/>
    <col min="5195" max="5376" width="12.140625" style="1" customWidth="1"/>
    <col min="5377" max="5377" width="4.00390625" style="1" customWidth="1"/>
    <col min="5378" max="5378" width="14.28125" style="1" customWidth="1"/>
    <col min="5379" max="5379" width="62.421875" style="1" customWidth="1"/>
    <col min="5380" max="5380" width="15.8515625" style="1" customWidth="1"/>
    <col min="5381" max="5381" width="10.8515625" style="1" customWidth="1"/>
    <col min="5382" max="5382" width="75.57421875" style="1" customWidth="1"/>
    <col min="5383" max="5383" width="5.8515625" style="1" customWidth="1"/>
    <col min="5384" max="5384" width="11.28125" style="1" customWidth="1"/>
    <col min="5385" max="5385" width="12.00390625" style="1" customWidth="1"/>
    <col min="5386" max="5386" width="10.28125" style="1" customWidth="1"/>
    <col min="5387" max="5387" width="12.00390625" style="1" customWidth="1"/>
    <col min="5388" max="5388" width="12.28125" style="1" customWidth="1"/>
    <col min="5389" max="5389" width="11.7109375" style="1" customWidth="1"/>
    <col min="5390" max="5400" width="12.140625" style="1" customWidth="1"/>
    <col min="5401" max="5450" width="12.140625" style="1" hidden="1" customWidth="1"/>
    <col min="5451" max="5632" width="12.140625" style="1" customWidth="1"/>
    <col min="5633" max="5633" width="4.00390625" style="1" customWidth="1"/>
    <col min="5634" max="5634" width="14.28125" style="1" customWidth="1"/>
    <col min="5635" max="5635" width="62.421875" style="1" customWidth="1"/>
    <col min="5636" max="5636" width="15.8515625" style="1" customWidth="1"/>
    <col min="5637" max="5637" width="10.8515625" style="1" customWidth="1"/>
    <col min="5638" max="5638" width="75.57421875" style="1" customWidth="1"/>
    <col min="5639" max="5639" width="5.8515625" style="1" customWidth="1"/>
    <col min="5640" max="5640" width="11.28125" style="1" customWidth="1"/>
    <col min="5641" max="5641" width="12.00390625" style="1" customWidth="1"/>
    <col min="5642" max="5642" width="10.28125" style="1" customWidth="1"/>
    <col min="5643" max="5643" width="12.00390625" style="1" customWidth="1"/>
    <col min="5644" max="5644" width="12.28125" style="1" customWidth="1"/>
    <col min="5645" max="5645" width="11.7109375" style="1" customWidth="1"/>
    <col min="5646" max="5656" width="12.140625" style="1" customWidth="1"/>
    <col min="5657" max="5706" width="12.140625" style="1" hidden="1" customWidth="1"/>
    <col min="5707" max="5888" width="12.140625" style="1" customWidth="1"/>
    <col min="5889" max="5889" width="4.00390625" style="1" customWidth="1"/>
    <col min="5890" max="5890" width="14.28125" style="1" customWidth="1"/>
    <col min="5891" max="5891" width="62.421875" style="1" customWidth="1"/>
    <col min="5892" max="5892" width="15.8515625" style="1" customWidth="1"/>
    <col min="5893" max="5893" width="10.8515625" style="1" customWidth="1"/>
    <col min="5894" max="5894" width="75.57421875" style="1" customWidth="1"/>
    <col min="5895" max="5895" width="5.8515625" style="1" customWidth="1"/>
    <col min="5896" max="5896" width="11.28125" style="1" customWidth="1"/>
    <col min="5897" max="5897" width="12.00390625" style="1" customWidth="1"/>
    <col min="5898" max="5898" width="10.28125" style="1" customWidth="1"/>
    <col min="5899" max="5899" width="12.00390625" style="1" customWidth="1"/>
    <col min="5900" max="5900" width="12.28125" style="1" customWidth="1"/>
    <col min="5901" max="5901" width="11.7109375" style="1" customWidth="1"/>
    <col min="5902" max="5912" width="12.140625" style="1" customWidth="1"/>
    <col min="5913" max="5962" width="12.140625" style="1" hidden="1" customWidth="1"/>
    <col min="5963" max="6144" width="12.140625" style="1" customWidth="1"/>
    <col min="6145" max="6145" width="4.00390625" style="1" customWidth="1"/>
    <col min="6146" max="6146" width="14.28125" style="1" customWidth="1"/>
    <col min="6147" max="6147" width="62.421875" style="1" customWidth="1"/>
    <col min="6148" max="6148" width="15.8515625" style="1" customWidth="1"/>
    <col min="6149" max="6149" width="10.8515625" style="1" customWidth="1"/>
    <col min="6150" max="6150" width="75.57421875" style="1" customWidth="1"/>
    <col min="6151" max="6151" width="5.8515625" style="1" customWidth="1"/>
    <col min="6152" max="6152" width="11.28125" style="1" customWidth="1"/>
    <col min="6153" max="6153" width="12.00390625" style="1" customWidth="1"/>
    <col min="6154" max="6154" width="10.28125" style="1" customWidth="1"/>
    <col min="6155" max="6155" width="12.00390625" style="1" customWidth="1"/>
    <col min="6156" max="6156" width="12.28125" style="1" customWidth="1"/>
    <col min="6157" max="6157" width="11.7109375" style="1" customWidth="1"/>
    <col min="6158" max="6168" width="12.140625" style="1" customWidth="1"/>
    <col min="6169" max="6218" width="12.140625" style="1" hidden="1" customWidth="1"/>
    <col min="6219" max="6400" width="12.140625" style="1" customWidth="1"/>
    <col min="6401" max="6401" width="4.00390625" style="1" customWidth="1"/>
    <col min="6402" max="6402" width="14.28125" style="1" customWidth="1"/>
    <col min="6403" max="6403" width="62.421875" style="1" customWidth="1"/>
    <col min="6404" max="6404" width="15.8515625" style="1" customWidth="1"/>
    <col min="6405" max="6405" width="10.8515625" style="1" customWidth="1"/>
    <col min="6406" max="6406" width="75.57421875" style="1" customWidth="1"/>
    <col min="6407" max="6407" width="5.8515625" style="1" customWidth="1"/>
    <col min="6408" max="6408" width="11.28125" style="1" customWidth="1"/>
    <col min="6409" max="6409" width="12.00390625" style="1" customWidth="1"/>
    <col min="6410" max="6410" width="10.28125" style="1" customWidth="1"/>
    <col min="6411" max="6411" width="12.00390625" style="1" customWidth="1"/>
    <col min="6412" max="6412" width="12.28125" style="1" customWidth="1"/>
    <col min="6413" max="6413" width="11.7109375" style="1" customWidth="1"/>
    <col min="6414" max="6424" width="12.140625" style="1" customWidth="1"/>
    <col min="6425" max="6474" width="12.140625" style="1" hidden="1" customWidth="1"/>
    <col min="6475" max="6656" width="12.140625" style="1" customWidth="1"/>
    <col min="6657" max="6657" width="4.00390625" style="1" customWidth="1"/>
    <col min="6658" max="6658" width="14.28125" style="1" customWidth="1"/>
    <col min="6659" max="6659" width="62.421875" style="1" customWidth="1"/>
    <col min="6660" max="6660" width="15.8515625" style="1" customWidth="1"/>
    <col min="6661" max="6661" width="10.8515625" style="1" customWidth="1"/>
    <col min="6662" max="6662" width="75.57421875" style="1" customWidth="1"/>
    <col min="6663" max="6663" width="5.8515625" style="1" customWidth="1"/>
    <col min="6664" max="6664" width="11.28125" style="1" customWidth="1"/>
    <col min="6665" max="6665" width="12.00390625" style="1" customWidth="1"/>
    <col min="6666" max="6666" width="10.28125" style="1" customWidth="1"/>
    <col min="6667" max="6667" width="12.00390625" style="1" customWidth="1"/>
    <col min="6668" max="6668" width="12.28125" style="1" customWidth="1"/>
    <col min="6669" max="6669" width="11.7109375" style="1" customWidth="1"/>
    <col min="6670" max="6680" width="12.140625" style="1" customWidth="1"/>
    <col min="6681" max="6730" width="12.140625" style="1" hidden="1" customWidth="1"/>
    <col min="6731" max="6912" width="12.140625" style="1" customWidth="1"/>
    <col min="6913" max="6913" width="4.00390625" style="1" customWidth="1"/>
    <col min="6914" max="6914" width="14.28125" style="1" customWidth="1"/>
    <col min="6915" max="6915" width="62.421875" style="1" customWidth="1"/>
    <col min="6916" max="6916" width="15.8515625" style="1" customWidth="1"/>
    <col min="6917" max="6917" width="10.8515625" style="1" customWidth="1"/>
    <col min="6918" max="6918" width="75.57421875" style="1" customWidth="1"/>
    <col min="6919" max="6919" width="5.8515625" style="1" customWidth="1"/>
    <col min="6920" max="6920" width="11.28125" style="1" customWidth="1"/>
    <col min="6921" max="6921" width="12.00390625" style="1" customWidth="1"/>
    <col min="6922" max="6922" width="10.28125" style="1" customWidth="1"/>
    <col min="6923" max="6923" width="12.00390625" style="1" customWidth="1"/>
    <col min="6924" max="6924" width="12.28125" style="1" customWidth="1"/>
    <col min="6925" max="6925" width="11.7109375" style="1" customWidth="1"/>
    <col min="6926" max="6936" width="12.140625" style="1" customWidth="1"/>
    <col min="6937" max="6986" width="12.140625" style="1" hidden="1" customWidth="1"/>
    <col min="6987" max="7168" width="12.140625" style="1" customWidth="1"/>
    <col min="7169" max="7169" width="4.00390625" style="1" customWidth="1"/>
    <col min="7170" max="7170" width="14.28125" style="1" customWidth="1"/>
    <col min="7171" max="7171" width="62.421875" style="1" customWidth="1"/>
    <col min="7172" max="7172" width="15.8515625" style="1" customWidth="1"/>
    <col min="7173" max="7173" width="10.8515625" style="1" customWidth="1"/>
    <col min="7174" max="7174" width="75.57421875" style="1" customWidth="1"/>
    <col min="7175" max="7175" width="5.8515625" style="1" customWidth="1"/>
    <col min="7176" max="7176" width="11.28125" style="1" customWidth="1"/>
    <col min="7177" max="7177" width="12.00390625" style="1" customWidth="1"/>
    <col min="7178" max="7178" width="10.28125" style="1" customWidth="1"/>
    <col min="7179" max="7179" width="12.00390625" style="1" customWidth="1"/>
    <col min="7180" max="7180" width="12.28125" style="1" customWidth="1"/>
    <col min="7181" max="7181" width="11.7109375" style="1" customWidth="1"/>
    <col min="7182" max="7192" width="12.140625" style="1" customWidth="1"/>
    <col min="7193" max="7242" width="12.140625" style="1" hidden="1" customWidth="1"/>
    <col min="7243" max="7424" width="12.140625" style="1" customWidth="1"/>
    <col min="7425" max="7425" width="4.00390625" style="1" customWidth="1"/>
    <col min="7426" max="7426" width="14.28125" style="1" customWidth="1"/>
    <col min="7427" max="7427" width="62.421875" style="1" customWidth="1"/>
    <col min="7428" max="7428" width="15.8515625" style="1" customWidth="1"/>
    <col min="7429" max="7429" width="10.8515625" style="1" customWidth="1"/>
    <col min="7430" max="7430" width="75.57421875" style="1" customWidth="1"/>
    <col min="7431" max="7431" width="5.8515625" style="1" customWidth="1"/>
    <col min="7432" max="7432" width="11.28125" style="1" customWidth="1"/>
    <col min="7433" max="7433" width="12.00390625" style="1" customWidth="1"/>
    <col min="7434" max="7434" width="10.28125" style="1" customWidth="1"/>
    <col min="7435" max="7435" width="12.00390625" style="1" customWidth="1"/>
    <col min="7436" max="7436" width="12.28125" style="1" customWidth="1"/>
    <col min="7437" max="7437" width="11.7109375" style="1" customWidth="1"/>
    <col min="7438" max="7448" width="12.140625" style="1" customWidth="1"/>
    <col min="7449" max="7498" width="12.140625" style="1" hidden="1" customWidth="1"/>
    <col min="7499" max="7680" width="12.140625" style="1" customWidth="1"/>
    <col min="7681" max="7681" width="4.00390625" style="1" customWidth="1"/>
    <col min="7682" max="7682" width="14.28125" style="1" customWidth="1"/>
    <col min="7683" max="7683" width="62.421875" style="1" customWidth="1"/>
    <col min="7684" max="7684" width="15.8515625" style="1" customWidth="1"/>
    <col min="7685" max="7685" width="10.8515625" style="1" customWidth="1"/>
    <col min="7686" max="7686" width="75.57421875" style="1" customWidth="1"/>
    <col min="7687" max="7687" width="5.8515625" style="1" customWidth="1"/>
    <col min="7688" max="7688" width="11.28125" style="1" customWidth="1"/>
    <col min="7689" max="7689" width="12.00390625" style="1" customWidth="1"/>
    <col min="7690" max="7690" width="10.28125" style="1" customWidth="1"/>
    <col min="7691" max="7691" width="12.00390625" style="1" customWidth="1"/>
    <col min="7692" max="7692" width="12.28125" style="1" customWidth="1"/>
    <col min="7693" max="7693" width="11.7109375" style="1" customWidth="1"/>
    <col min="7694" max="7704" width="12.140625" style="1" customWidth="1"/>
    <col min="7705" max="7754" width="12.140625" style="1" hidden="1" customWidth="1"/>
    <col min="7755" max="7936" width="12.140625" style="1" customWidth="1"/>
    <col min="7937" max="7937" width="4.00390625" style="1" customWidth="1"/>
    <col min="7938" max="7938" width="14.28125" style="1" customWidth="1"/>
    <col min="7939" max="7939" width="62.421875" style="1" customWidth="1"/>
    <col min="7940" max="7940" width="15.8515625" style="1" customWidth="1"/>
    <col min="7941" max="7941" width="10.8515625" style="1" customWidth="1"/>
    <col min="7942" max="7942" width="75.57421875" style="1" customWidth="1"/>
    <col min="7943" max="7943" width="5.8515625" style="1" customWidth="1"/>
    <col min="7944" max="7944" width="11.28125" style="1" customWidth="1"/>
    <col min="7945" max="7945" width="12.00390625" style="1" customWidth="1"/>
    <col min="7946" max="7946" width="10.28125" style="1" customWidth="1"/>
    <col min="7947" max="7947" width="12.00390625" style="1" customWidth="1"/>
    <col min="7948" max="7948" width="12.28125" style="1" customWidth="1"/>
    <col min="7949" max="7949" width="11.7109375" style="1" customWidth="1"/>
    <col min="7950" max="7960" width="12.140625" style="1" customWidth="1"/>
    <col min="7961" max="8010" width="12.140625" style="1" hidden="1" customWidth="1"/>
    <col min="8011" max="8192" width="12.140625" style="1" customWidth="1"/>
    <col min="8193" max="8193" width="4.00390625" style="1" customWidth="1"/>
    <col min="8194" max="8194" width="14.28125" style="1" customWidth="1"/>
    <col min="8195" max="8195" width="62.421875" style="1" customWidth="1"/>
    <col min="8196" max="8196" width="15.8515625" style="1" customWidth="1"/>
    <col min="8197" max="8197" width="10.8515625" style="1" customWidth="1"/>
    <col min="8198" max="8198" width="75.57421875" style="1" customWidth="1"/>
    <col min="8199" max="8199" width="5.8515625" style="1" customWidth="1"/>
    <col min="8200" max="8200" width="11.28125" style="1" customWidth="1"/>
    <col min="8201" max="8201" width="12.00390625" style="1" customWidth="1"/>
    <col min="8202" max="8202" width="10.28125" style="1" customWidth="1"/>
    <col min="8203" max="8203" width="12.00390625" style="1" customWidth="1"/>
    <col min="8204" max="8204" width="12.28125" style="1" customWidth="1"/>
    <col min="8205" max="8205" width="11.7109375" style="1" customWidth="1"/>
    <col min="8206" max="8216" width="12.140625" style="1" customWidth="1"/>
    <col min="8217" max="8266" width="12.140625" style="1" hidden="1" customWidth="1"/>
    <col min="8267" max="8448" width="12.140625" style="1" customWidth="1"/>
    <col min="8449" max="8449" width="4.00390625" style="1" customWidth="1"/>
    <col min="8450" max="8450" width="14.28125" style="1" customWidth="1"/>
    <col min="8451" max="8451" width="62.421875" style="1" customWidth="1"/>
    <col min="8452" max="8452" width="15.8515625" style="1" customWidth="1"/>
    <col min="8453" max="8453" width="10.8515625" style="1" customWidth="1"/>
    <col min="8454" max="8454" width="75.57421875" style="1" customWidth="1"/>
    <col min="8455" max="8455" width="5.8515625" style="1" customWidth="1"/>
    <col min="8456" max="8456" width="11.28125" style="1" customWidth="1"/>
    <col min="8457" max="8457" width="12.00390625" style="1" customWidth="1"/>
    <col min="8458" max="8458" width="10.28125" style="1" customWidth="1"/>
    <col min="8459" max="8459" width="12.00390625" style="1" customWidth="1"/>
    <col min="8460" max="8460" width="12.28125" style="1" customWidth="1"/>
    <col min="8461" max="8461" width="11.7109375" style="1" customWidth="1"/>
    <col min="8462" max="8472" width="12.140625" style="1" customWidth="1"/>
    <col min="8473" max="8522" width="12.140625" style="1" hidden="1" customWidth="1"/>
    <col min="8523" max="8704" width="12.140625" style="1" customWidth="1"/>
    <col min="8705" max="8705" width="4.00390625" style="1" customWidth="1"/>
    <col min="8706" max="8706" width="14.28125" style="1" customWidth="1"/>
    <col min="8707" max="8707" width="62.421875" style="1" customWidth="1"/>
    <col min="8708" max="8708" width="15.8515625" style="1" customWidth="1"/>
    <col min="8709" max="8709" width="10.8515625" style="1" customWidth="1"/>
    <col min="8710" max="8710" width="75.57421875" style="1" customWidth="1"/>
    <col min="8711" max="8711" width="5.8515625" style="1" customWidth="1"/>
    <col min="8712" max="8712" width="11.28125" style="1" customWidth="1"/>
    <col min="8713" max="8713" width="12.00390625" style="1" customWidth="1"/>
    <col min="8714" max="8714" width="10.28125" style="1" customWidth="1"/>
    <col min="8715" max="8715" width="12.00390625" style="1" customWidth="1"/>
    <col min="8716" max="8716" width="12.28125" style="1" customWidth="1"/>
    <col min="8717" max="8717" width="11.7109375" style="1" customWidth="1"/>
    <col min="8718" max="8728" width="12.140625" style="1" customWidth="1"/>
    <col min="8729" max="8778" width="12.140625" style="1" hidden="1" customWidth="1"/>
    <col min="8779" max="8960" width="12.140625" style="1" customWidth="1"/>
    <col min="8961" max="8961" width="4.00390625" style="1" customWidth="1"/>
    <col min="8962" max="8962" width="14.28125" style="1" customWidth="1"/>
    <col min="8963" max="8963" width="62.421875" style="1" customWidth="1"/>
    <col min="8964" max="8964" width="15.8515625" style="1" customWidth="1"/>
    <col min="8965" max="8965" width="10.8515625" style="1" customWidth="1"/>
    <col min="8966" max="8966" width="75.57421875" style="1" customWidth="1"/>
    <col min="8967" max="8967" width="5.8515625" style="1" customWidth="1"/>
    <col min="8968" max="8968" width="11.28125" style="1" customWidth="1"/>
    <col min="8969" max="8969" width="12.00390625" style="1" customWidth="1"/>
    <col min="8970" max="8970" width="10.28125" style="1" customWidth="1"/>
    <col min="8971" max="8971" width="12.00390625" style="1" customWidth="1"/>
    <col min="8972" max="8972" width="12.28125" style="1" customWidth="1"/>
    <col min="8973" max="8973" width="11.7109375" style="1" customWidth="1"/>
    <col min="8974" max="8984" width="12.140625" style="1" customWidth="1"/>
    <col min="8985" max="9034" width="12.140625" style="1" hidden="1" customWidth="1"/>
    <col min="9035" max="9216" width="12.140625" style="1" customWidth="1"/>
    <col min="9217" max="9217" width="4.00390625" style="1" customWidth="1"/>
    <col min="9218" max="9218" width="14.28125" style="1" customWidth="1"/>
    <col min="9219" max="9219" width="62.421875" style="1" customWidth="1"/>
    <col min="9220" max="9220" width="15.8515625" style="1" customWidth="1"/>
    <col min="9221" max="9221" width="10.8515625" style="1" customWidth="1"/>
    <col min="9222" max="9222" width="75.57421875" style="1" customWidth="1"/>
    <col min="9223" max="9223" width="5.8515625" style="1" customWidth="1"/>
    <col min="9224" max="9224" width="11.28125" style="1" customWidth="1"/>
    <col min="9225" max="9225" width="12.00390625" style="1" customWidth="1"/>
    <col min="9226" max="9226" width="10.28125" style="1" customWidth="1"/>
    <col min="9227" max="9227" width="12.00390625" style="1" customWidth="1"/>
    <col min="9228" max="9228" width="12.28125" style="1" customWidth="1"/>
    <col min="9229" max="9229" width="11.7109375" style="1" customWidth="1"/>
    <col min="9230" max="9240" width="12.140625" style="1" customWidth="1"/>
    <col min="9241" max="9290" width="12.140625" style="1" hidden="1" customWidth="1"/>
    <col min="9291" max="9472" width="12.140625" style="1" customWidth="1"/>
    <col min="9473" max="9473" width="4.00390625" style="1" customWidth="1"/>
    <col min="9474" max="9474" width="14.28125" style="1" customWidth="1"/>
    <col min="9475" max="9475" width="62.421875" style="1" customWidth="1"/>
    <col min="9476" max="9476" width="15.8515625" style="1" customWidth="1"/>
    <col min="9477" max="9477" width="10.8515625" style="1" customWidth="1"/>
    <col min="9478" max="9478" width="75.57421875" style="1" customWidth="1"/>
    <col min="9479" max="9479" width="5.8515625" style="1" customWidth="1"/>
    <col min="9480" max="9480" width="11.28125" style="1" customWidth="1"/>
    <col min="9481" max="9481" width="12.00390625" style="1" customWidth="1"/>
    <col min="9482" max="9482" width="10.28125" style="1" customWidth="1"/>
    <col min="9483" max="9483" width="12.00390625" style="1" customWidth="1"/>
    <col min="9484" max="9484" width="12.28125" style="1" customWidth="1"/>
    <col min="9485" max="9485" width="11.7109375" style="1" customWidth="1"/>
    <col min="9486" max="9496" width="12.140625" style="1" customWidth="1"/>
    <col min="9497" max="9546" width="12.140625" style="1" hidden="1" customWidth="1"/>
    <col min="9547" max="9728" width="12.140625" style="1" customWidth="1"/>
    <col min="9729" max="9729" width="4.00390625" style="1" customWidth="1"/>
    <col min="9730" max="9730" width="14.28125" style="1" customWidth="1"/>
    <col min="9731" max="9731" width="62.421875" style="1" customWidth="1"/>
    <col min="9732" max="9732" width="15.8515625" style="1" customWidth="1"/>
    <col min="9733" max="9733" width="10.8515625" style="1" customWidth="1"/>
    <col min="9734" max="9734" width="75.57421875" style="1" customWidth="1"/>
    <col min="9735" max="9735" width="5.8515625" style="1" customWidth="1"/>
    <col min="9736" max="9736" width="11.28125" style="1" customWidth="1"/>
    <col min="9737" max="9737" width="12.00390625" style="1" customWidth="1"/>
    <col min="9738" max="9738" width="10.28125" style="1" customWidth="1"/>
    <col min="9739" max="9739" width="12.00390625" style="1" customWidth="1"/>
    <col min="9740" max="9740" width="12.28125" style="1" customWidth="1"/>
    <col min="9741" max="9741" width="11.7109375" style="1" customWidth="1"/>
    <col min="9742" max="9752" width="12.140625" style="1" customWidth="1"/>
    <col min="9753" max="9802" width="12.140625" style="1" hidden="1" customWidth="1"/>
    <col min="9803" max="9984" width="12.140625" style="1" customWidth="1"/>
    <col min="9985" max="9985" width="4.00390625" style="1" customWidth="1"/>
    <col min="9986" max="9986" width="14.28125" style="1" customWidth="1"/>
    <col min="9987" max="9987" width="62.421875" style="1" customWidth="1"/>
    <col min="9988" max="9988" width="15.8515625" style="1" customWidth="1"/>
    <col min="9989" max="9989" width="10.8515625" style="1" customWidth="1"/>
    <col min="9990" max="9990" width="75.57421875" style="1" customWidth="1"/>
    <col min="9991" max="9991" width="5.8515625" style="1" customWidth="1"/>
    <col min="9992" max="9992" width="11.28125" style="1" customWidth="1"/>
    <col min="9993" max="9993" width="12.00390625" style="1" customWidth="1"/>
    <col min="9994" max="9994" width="10.28125" style="1" customWidth="1"/>
    <col min="9995" max="9995" width="12.00390625" style="1" customWidth="1"/>
    <col min="9996" max="9996" width="12.28125" style="1" customWidth="1"/>
    <col min="9997" max="9997" width="11.7109375" style="1" customWidth="1"/>
    <col min="9998" max="10008" width="12.140625" style="1" customWidth="1"/>
    <col min="10009" max="10058" width="12.140625" style="1" hidden="1" customWidth="1"/>
    <col min="10059" max="10240" width="12.140625" style="1" customWidth="1"/>
    <col min="10241" max="10241" width="4.00390625" style="1" customWidth="1"/>
    <col min="10242" max="10242" width="14.28125" style="1" customWidth="1"/>
    <col min="10243" max="10243" width="62.421875" style="1" customWidth="1"/>
    <col min="10244" max="10244" width="15.8515625" style="1" customWidth="1"/>
    <col min="10245" max="10245" width="10.8515625" style="1" customWidth="1"/>
    <col min="10246" max="10246" width="75.57421875" style="1" customWidth="1"/>
    <col min="10247" max="10247" width="5.8515625" style="1" customWidth="1"/>
    <col min="10248" max="10248" width="11.28125" style="1" customWidth="1"/>
    <col min="10249" max="10249" width="12.00390625" style="1" customWidth="1"/>
    <col min="10250" max="10250" width="10.28125" style="1" customWidth="1"/>
    <col min="10251" max="10251" width="12.00390625" style="1" customWidth="1"/>
    <col min="10252" max="10252" width="12.28125" style="1" customWidth="1"/>
    <col min="10253" max="10253" width="11.7109375" style="1" customWidth="1"/>
    <col min="10254" max="10264" width="12.140625" style="1" customWidth="1"/>
    <col min="10265" max="10314" width="12.140625" style="1" hidden="1" customWidth="1"/>
    <col min="10315" max="10496" width="12.140625" style="1" customWidth="1"/>
    <col min="10497" max="10497" width="4.00390625" style="1" customWidth="1"/>
    <col min="10498" max="10498" width="14.28125" style="1" customWidth="1"/>
    <col min="10499" max="10499" width="62.421875" style="1" customWidth="1"/>
    <col min="10500" max="10500" width="15.8515625" style="1" customWidth="1"/>
    <col min="10501" max="10501" width="10.8515625" style="1" customWidth="1"/>
    <col min="10502" max="10502" width="75.57421875" style="1" customWidth="1"/>
    <col min="10503" max="10503" width="5.8515625" style="1" customWidth="1"/>
    <col min="10504" max="10504" width="11.28125" style="1" customWidth="1"/>
    <col min="10505" max="10505" width="12.00390625" style="1" customWidth="1"/>
    <col min="10506" max="10506" width="10.28125" style="1" customWidth="1"/>
    <col min="10507" max="10507" width="12.00390625" style="1" customWidth="1"/>
    <col min="10508" max="10508" width="12.28125" style="1" customWidth="1"/>
    <col min="10509" max="10509" width="11.7109375" style="1" customWidth="1"/>
    <col min="10510" max="10520" width="12.140625" style="1" customWidth="1"/>
    <col min="10521" max="10570" width="12.140625" style="1" hidden="1" customWidth="1"/>
    <col min="10571" max="10752" width="12.140625" style="1" customWidth="1"/>
    <col min="10753" max="10753" width="4.00390625" style="1" customWidth="1"/>
    <col min="10754" max="10754" width="14.28125" style="1" customWidth="1"/>
    <col min="10755" max="10755" width="62.421875" style="1" customWidth="1"/>
    <col min="10756" max="10756" width="15.8515625" style="1" customWidth="1"/>
    <col min="10757" max="10757" width="10.8515625" style="1" customWidth="1"/>
    <col min="10758" max="10758" width="75.57421875" style="1" customWidth="1"/>
    <col min="10759" max="10759" width="5.8515625" style="1" customWidth="1"/>
    <col min="10760" max="10760" width="11.28125" style="1" customWidth="1"/>
    <col min="10761" max="10761" width="12.00390625" style="1" customWidth="1"/>
    <col min="10762" max="10762" width="10.28125" style="1" customWidth="1"/>
    <col min="10763" max="10763" width="12.00390625" style="1" customWidth="1"/>
    <col min="10764" max="10764" width="12.28125" style="1" customWidth="1"/>
    <col min="10765" max="10765" width="11.7109375" style="1" customWidth="1"/>
    <col min="10766" max="10776" width="12.140625" style="1" customWidth="1"/>
    <col min="10777" max="10826" width="12.140625" style="1" hidden="1" customWidth="1"/>
    <col min="10827" max="11008" width="12.140625" style="1" customWidth="1"/>
    <col min="11009" max="11009" width="4.00390625" style="1" customWidth="1"/>
    <col min="11010" max="11010" width="14.28125" style="1" customWidth="1"/>
    <col min="11011" max="11011" width="62.421875" style="1" customWidth="1"/>
    <col min="11012" max="11012" width="15.8515625" style="1" customWidth="1"/>
    <col min="11013" max="11013" width="10.8515625" style="1" customWidth="1"/>
    <col min="11014" max="11014" width="75.57421875" style="1" customWidth="1"/>
    <col min="11015" max="11015" width="5.8515625" style="1" customWidth="1"/>
    <col min="11016" max="11016" width="11.28125" style="1" customWidth="1"/>
    <col min="11017" max="11017" width="12.00390625" style="1" customWidth="1"/>
    <col min="11018" max="11018" width="10.28125" style="1" customWidth="1"/>
    <col min="11019" max="11019" width="12.00390625" style="1" customWidth="1"/>
    <col min="11020" max="11020" width="12.28125" style="1" customWidth="1"/>
    <col min="11021" max="11021" width="11.7109375" style="1" customWidth="1"/>
    <col min="11022" max="11032" width="12.140625" style="1" customWidth="1"/>
    <col min="11033" max="11082" width="12.140625" style="1" hidden="1" customWidth="1"/>
    <col min="11083" max="11264" width="12.140625" style="1" customWidth="1"/>
    <col min="11265" max="11265" width="4.00390625" style="1" customWidth="1"/>
    <col min="11266" max="11266" width="14.28125" style="1" customWidth="1"/>
    <col min="11267" max="11267" width="62.421875" style="1" customWidth="1"/>
    <col min="11268" max="11268" width="15.8515625" style="1" customWidth="1"/>
    <col min="11269" max="11269" width="10.8515625" style="1" customWidth="1"/>
    <col min="11270" max="11270" width="75.57421875" style="1" customWidth="1"/>
    <col min="11271" max="11271" width="5.8515625" style="1" customWidth="1"/>
    <col min="11272" max="11272" width="11.28125" style="1" customWidth="1"/>
    <col min="11273" max="11273" width="12.00390625" style="1" customWidth="1"/>
    <col min="11274" max="11274" width="10.28125" style="1" customWidth="1"/>
    <col min="11275" max="11275" width="12.00390625" style="1" customWidth="1"/>
    <col min="11276" max="11276" width="12.28125" style="1" customWidth="1"/>
    <col min="11277" max="11277" width="11.7109375" style="1" customWidth="1"/>
    <col min="11278" max="11288" width="12.140625" style="1" customWidth="1"/>
    <col min="11289" max="11338" width="12.140625" style="1" hidden="1" customWidth="1"/>
    <col min="11339" max="11520" width="12.140625" style="1" customWidth="1"/>
    <col min="11521" max="11521" width="4.00390625" style="1" customWidth="1"/>
    <col min="11522" max="11522" width="14.28125" style="1" customWidth="1"/>
    <col min="11523" max="11523" width="62.421875" style="1" customWidth="1"/>
    <col min="11524" max="11524" width="15.8515625" style="1" customWidth="1"/>
    <col min="11525" max="11525" width="10.8515625" style="1" customWidth="1"/>
    <col min="11526" max="11526" width="75.57421875" style="1" customWidth="1"/>
    <col min="11527" max="11527" width="5.8515625" style="1" customWidth="1"/>
    <col min="11528" max="11528" width="11.28125" style="1" customWidth="1"/>
    <col min="11529" max="11529" width="12.00390625" style="1" customWidth="1"/>
    <col min="11530" max="11530" width="10.28125" style="1" customWidth="1"/>
    <col min="11531" max="11531" width="12.00390625" style="1" customWidth="1"/>
    <col min="11532" max="11532" width="12.28125" style="1" customWidth="1"/>
    <col min="11533" max="11533" width="11.7109375" style="1" customWidth="1"/>
    <col min="11534" max="11544" width="12.140625" style="1" customWidth="1"/>
    <col min="11545" max="11594" width="12.140625" style="1" hidden="1" customWidth="1"/>
    <col min="11595" max="11776" width="12.140625" style="1" customWidth="1"/>
    <col min="11777" max="11777" width="4.00390625" style="1" customWidth="1"/>
    <col min="11778" max="11778" width="14.28125" style="1" customWidth="1"/>
    <col min="11779" max="11779" width="62.421875" style="1" customWidth="1"/>
    <col min="11780" max="11780" width="15.8515625" style="1" customWidth="1"/>
    <col min="11781" max="11781" width="10.8515625" style="1" customWidth="1"/>
    <col min="11782" max="11782" width="75.57421875" style="1" customWidth="1"/>
    <col min="11783" max="11783" width="5.8515625" style="1" customWidth="1"/>
    <col min="11784" max="11784" width="11.28125" style="1" customWidth="1"/>
    <col min="11785" max="11785" width="12.00390625" style="1" customWidth="1"/>
    <col min="11786" max="11786" width="10.28125" style="1" customWidth="1"/>
    <col min="11787" max="11787" width="12.00390625" style="1" customWidth="1"/>
    <col min="11788" max="11788" width="12.28125" style="1" customWidth="1"/>
    <col min="11789" max="11789" width="11.7109375" style="1" customWidth="1"/>
    <col min="11790" max="11800" width="12.140625" style="1" customWidth="1"/>
    <col min="11801" max="11850" width="12.140625" style="1" hidden="1" customWidth="1"/>
    <col min="11851" max="12032" width="12.140625" style="1" customWidth="1"/>
    <col min="12033" max="12033" width="4.00390625" style="1" customWidth="1"/>
    <col min="12034" max="12034" width="14.28125" style="1" customWidth="1"/>
    <col min="12035" max="12035" width="62.421875" style="1" customWidth="1"/>
    <col min="12036" max="12036" width="15.8515625" style="1" customWidth="1"/>
    <col min="12037" max="12037" width="10.8515625" style="1" customWidth="1"/>
    <col min="12038" max="12038" width="75.57421875" style="1" customWidth="1"/>
    <col min="12039" max="12039" width="5.8515625" style="1" customWidth="1"/>
    <col min="12040" max="12040" width="11.28125" style="1" customWidth="1"/>
    <col min="12041" max="12041" width="12.00390625" style="1" customWidth="1"/>
    <col min="12042" max="12042" width="10.28125" style="1" customWidth="1"/>
    <col min="12043" max="12043" width="12.00390625" style="1" customWidth="1"/>
    <col min="12044" max="12044" width="12.28125" style="1" customWidth="1"/>
    <col min="12045" max="12045" width="11.7109375" style="1" customWidth="1"/>
    <col min="12046" max="12056" width="12.140625" style="1" customWidth="1"/>
    <col min="12057" max="12106" width="12.140625" style="1" hidden="1" customWidth="1"/>
    <col min="12107" max="12288" width="12.140625" style="1" customWidth="1"/>
    <col min="12289" max="12289" width="4.00390625" style="1" customWidth="1"/>
    <col min="12290" max="12290" width="14.28125" style="1" customWidth="1"/>
    <col min="12291" max="12291" width="62.421875" style="1" customWidth="1"/>
    <col min="12292" max="12292" width="15.8515625" style="1" customWidth="1"/>
    <col min="12293" max="12293" width="10.8515625" style="1" customWidth="1"/>
    <col min="12294" max="12294" width="75.57421875" style="1" customWidth="1"/>
    <col min="12295" max="12295" width="5.8515625" style="1" customWidth="1"/>
    <col min="12296" max="12296" width="11.28125" style="1" customWidth="1"/>
    <col min="12297" max="12297" width="12.00390625" style="1" customWidth="1"/>
    <col min="12298" max="12298" width="10.28125" style="1" customWidth="1"/>
    <col min="12299" max="12299" width="12.00390625" style="1" customWidth="1"/>
    <col min="12300" max="12300" width="12.28125" style="1" customWidth="1"/>
    <col min="12301" max="12301" width="11.7109375" style="1" customWidth="1"/>
    <col min="12302" max="12312" width="12.140625" style="1" customWidth="1"/>
    <col min="12313" max="12362" width="12.140625" style="1" hidden="1" customWidth="1"/>
    <col min="12363" max="12544" width="12.140625" style="1" customWidth="1"/>
    <col min="12545" max="12545" width="4.00390625" style="1" customWidth="1"/>
    <col min="12546" max="12546" width="14.28125" style="1" customWidth="1"/>
    <col min="12547" max="12547" width="62.421875" style="1" customWidth="1"/>
    <col min="12548" max="12548" width="15.8515625" style="1" customWidth="1"/>
    <col min="12549" max="12549" width="10.8515625" style="1" customWidth="1"/>
    <col min="12550" max="12550" width="75.57421875" style="1" customWidth="1"/>
    <col min="12551" max="12551" width="5.8515625" style="1" customWidth="1"/>
    <col min="12552" max="12552" width="11.28125" style="1" customWidth="1"/>
    <col min="12553" max="12553" width="12.00390625" style="1" customWidth="1"/>
    <col min="12554" max="12554" width="10.28125" style="1" customWidth="1"/>
    <col min="12555" max="12555" width="12.00390625" style="1" customWidth="1"/>
    <col min="12556" max="12556" width="12.28125" style="1" customWidth="1"/>
    <col min="12557" max="12557" width="11.7109375" style="1" customWidth="1"/>
    <col min="12558" max="12568" width="12.140625" style="1" customWidth="1"/>
    <col min="12569" max="12618" width="12.140625" style="1" hidden="1" customWidth="1"/>
    <col min="12619" max="12800" width="12.140625" style="1" customWidth="1"/>
    <col min="12801" max="12801" width="4.00390625" style="1" customWidth="1"/>
    <col min="12802" max="12802" width="14.28125" style="1" customWidth="1"/>
    <col min="12803" max="12803" width="62.421875" style="1" customWidth="1"/>
    <col min="12804" max="12804" width="15.8515625" style="1" customWidth="1"/>
    <col min="12805" max="12805" width="10.8515625" style="1" customWidth="1"/>
    <col min="12806" max="12806" width="75.57421875" style="1" customWidth="1"/>
    <col min="12807" max="12807" width="5.8515625" style="1" customWidth="1"/>
    <col min="12808" max="12808" width="11.28125" style="1" customWidth="1"/>
    <col min="12809" max="12809" width="12.00390625" style="1" customWidth="1"/>
    <col min="12810" max="12810" width="10.28125" style="1" customWidth="1"/>
    <col min="12811" max="12811" width="12.00390625" style="1" customWidth="1"/>
    <col min="12812" max="12812" width="12.28125" style="1" customWidth="1"/>
    <col min="12813" max="12813" width="11.7109375" style="1" customWidth="1"/>
    <col min="12814" max="12824" width="12.140625" style="1" customWidth="1"/>
    <col min="12825" max="12874" width="12.140625" style="1" hidden="1" customWidth="1"/>
    <col min="12875" max="13056" width="12.140625" style="1" customWidth="1"/>
    <col min="13057" max="13057" width="4.00390625" style="1" customWidth="1"/>
    <col min="13058" max="13058" width="14.28125" style="1" customWidth="1"/>
    <col min="13059" max="13059" width="62.421875" style="1" customWidth="1"/>
    <col min="13060" max="13060" width="15.8515625" style="1" customWidth="1"/>
    <col min="13061" max="13061" width="10.8515625" style="1" customWidth="1"/>
    <col min="13062" max="13062" width="75.57421875" style="1" customWidth="1"/>
    <col min="13063" max="13063" width="5.8515625" style="1" customWidth="1"/>
    <col min="13064" max="13064" width="11.28125" style="1" customWidth="1"/>
    <col min="13065" max="13065" width="12.00390625" style="1" customWidth="1"/>
    <col min="13066" max="13066" width="10.28125" style="1" customWidth="1"/>
    <col min="13067" max="13067" width="12.00390625" style="1" customWidth="1"/>
    <col min="13068" max="13068" width="12.28125" style="1" customWidth="1"/>
    <col min="13069" max="13069" width="11.7109375" style="1" customWidth="1"/>
    <col min="13070" max="13080" width="12.140625" style="1" customWidth="1"/>
    <col min="13081" max="13130" width="12.140625" style="1" hidden="1" customWidth="1"/>
    <col min="13131" max="13312" width="12.140625" style="1" customWidth="1"/>
    <col min="13313" max="13313" width="4.00390625" style="1" customWidth="1"/>
    <col min="13314" max="13314" width="14.28125" style="1" customWidth="1"/>
    <col min="13315" max="13315" width="62.421875" style="1" customWidth="1"/>
    <col min="13316" max="13316" width="15.8515625" style="1" customWidth="1"/>
    <col min="13317" max="13317" width="10.8515625" style="1" customWidth="1"/>
    <col min="13318" max="13318" width="75.57421875" style="1" customWidth="1"/>
    <col min="13319" max="13319" width="5.8515625" style="1" customWidth="1"/>
    <col min="13320" max="13320" width="11.28125" style="1" customWidth="1"/>
    <col min="13321" max="13321" width="12.00390625" style="1" customWidth="1"/>
    <col min="13322" max="13322" width="10.28125" style="1" customWidth="1"/>
    <col min="13323" max="13323" width="12.00390625" style="1" customWidth="1"/>
    <col min="13324" max="13324" width="12.28125" style="1" customWidth="1"/>
    <col min="13325" max="13325" width="11.7109375" style="1" customWidth="1"/>
    <col min="13326" max="13336" width="12.140625" style="1" customWidth="1"/>
    <col min="13337" max="13386" width="12.140625" style="1" hidden="1" customWidth="1"/>
    <col min="13387" max="13568" width="12.140625" style="1" customWidth="1"/>
    <col min="13569" max="13569" width="4.00390625" style="1" customWidth="1"/>
    <col min="13570" max="13570" width="14.28125" style="1" customWidth="1"/>
    <col min="13571" max="13571" width="62.421875" style="1" customWidth="1"/>
    <col min="13572" max="13572" width="15.8515625" style="1" customWidth="1"/>
    <col min="13573" max="13573" width="10.8515625" style="1" customWidth="1"/>
    <col min="13574" max="13574" width="75.57421875" style="1" customWidth="1"/>
    <col min="13575" max="13575" width="5.8515625" style="1" customWidth="1"/>
    <col min="13576" max="13576" width="11.28125" style="1" customWidth="1"/>
    <col min="13577" max="13577" width="12.00390625" style="1" customWidth="1"/>
    <col min="13578" max="13578" width="10.28125" style="1" customWidth="1"/>
    <col min="13579" max="13579" width="12.00390625" style="1" customWidth="1"/>
    <col min="13580" max="13580" width="12.28125" style="1" customWidth="1"/>
    <col min="13581" max="13581" width="11.7109375" style="1" customWidth="1"/>
    <col min="13582" max="13592" width="12.140625" style="1" customWidth="1"/>
    <col min="13593" max="13642" width="12.140625" style="1" hidden="1" customWidth="1"/>
    <col min="13643" max="13824" width="12.140625" style="1" customWidth="1"/>
    <col min="13825" max="13825" width="4.00390625" style="1" customWidth="1"/>
    <col min="13826" max="13826" width="14.28125" style="1" customWidth="1"/>
    <col min="13827" max="13827" width="62.421875" style="1" customWidth="1"/>
    <col min="13828" max="13828" width="15.8515625" style="1" customWidth="1"/>
    <col min="13829" max="13829" width="10.8515625" style="1" customWidth="1"/>
    <col min="13830" max="13830" width="75.57421875" style="1" customWidth="1"/>
    <col min="13831" max="13831" width="5.8515625" style="1" customWidth="1"/>
    <col min="13832" max="13832" width="11.28125" style="1" customWidth="1"/>
    <col min="13833" max="13833" width="12.00390625" style="1" customWidth="1"/>
    <col min="13834" max="13834" width="10.28125" style="1" customWidth="1"/>
    <col min="13835" max="13835" width="12.00390625" style="1" customWidth="1"/>
    <col min="13836" max="13836" width="12.28125" style="1" customWidth="1"/>
    <col min="13837" max="13837" width="11.7109375" style="1" customWidth="1"/>
    <col min="13838" max="13848" width="12.140625" style="1" customWidth="1"/>
    <col min="13849" max="13898" width="12.140625" style="1" hidden="1" customWidth="1"/>
    <col min="13899" max="14080" width="12.140625" style="1" customWidth="1"/>
    <col min="14081" max="14081" width="4.00390625" style="1" customWidth="1"/>
    <col min="14082" max="14082" width="14.28125" style="1" customWidth="1"/>
    <col min="14083" max="14083" width="62.421875" style="1" customWidth="1"/>
    <col min="14084" max="14084" width="15.8515625" style="1" customWidth="1"/>
    <col min="14085" max="14085" width="10.8515625" style="1" customWidth="1"/>
    <col min="14086" max="14086" width="75.57421875" style="1" customWidth="1"/>
    <col min="14087" max="14087" width="5.8515625" style="1" customWidth="1"/>
    <col min="14088" max="14088" width="11.28125" style="1" customWidth="1"/>
    <col min="14089" max="14089" width="12.00390625" style="1" customWidth="1"/>
    <col min="14090" max="14090" width="10.28125" style="1" customWidth="1"/>
    <col min="14091" max="14091" width="12.00390625" style="1" customWidth="1"/>
    <col min="14092" max="14092" width="12.28125" style="1" customWidth="1"/>
    <col min="14093" max="14093" width="11.7109375" style="1" customWidth="1"/>
    <col min="14094" max="14104" width="12.140625" style="1" customWidth="1"/>
    <col min="14105" max="14154" width="12.140625" style="1" hidden="1" customWidth="1"/>
    <col min="14155" max="14336" width="12.140625" style="1" customWidth="1"/>
    <col min="14337" max="14337" width="4.00390625" style="1" customWidth="1"/>
    <col min="14338" max="14338" width="14.28125" style="1" customWidth="1"/>
    <col min="14339" max="14339" width="62.421875" style="1" customWidth="1"/>
    <col min="14340" max="14340" width="15.8515625" style="1" customWidth="1"/>
    <col min="14341" max="14341" width="10.8515625" style="1" customWidth="1"/>
    <col min="14342" max="14342" width="75.57421875" style="1" customWidth="1"/>
    <col min="14343" max="14343" width="5.8515625" style="1" customWidth="1"/>
    <col min="14344" max="14344" width="11.28125" style="1" customWidth="1"/>
    <col min="14345" max="14345" width="12.00390625" style="1" customWidth="1"/>
    <col min="14346" max="14346" width="10.28125" style="1" customWidth="1"/>
    <col min="14347" max="14347" width="12.00390625" style="1" customWidth="1"/>
    <col min="14348" max="14348" width="12.28125" style="1" customWidth="1"/>
    <col min="14349" max="14349" width="11.7109375" style="1" customWidth="1"/>
    <col min="14350" max="14360" width="12.140625" style="1" customWidth="1"/>
    <col min="14361" max="14410" width="12.140625" style="1" hidden="1" customWidth="1"/>
    <col min="14411" max="14592" width="12.140625" style="1" customWidth="1"/>
    <col min="14593" max="14593" width="4.00390625" style="1" customWidth="1"/>
    <col min="14594" max="14594" width="14.28125" style="1" customWidth="1"/>
    <col min="14595" max="14595" width="62.421875" style="1" customWidth="1"/>
    <col min="14596" max="14596" width="15.8515625" style="1" customWidth="1"/>
    <col min="14597" max="14597" width="10.8515625" style="1" customWidth="1"/>
    <col min="14598" max="14598" width="75.57421875" style="1" customWidth="1"/>
    <col min="14599" max="14599" width="5.8515625" style="1" customWidth="1"/>
    <col min="14600" max="14600" width="11.28125" style="1" customWidth="1"/>
    <col min="14601" max="14601" width="12.00390625" style="1" customWidth="1"/>
    <col min="14602" max="14602" width="10.28125" style="1" customWidth="1"/>
    <col min="14603" max="14603" width="12.00390625" style="1" customWidth="1"/>
    <col min="14604" max="14604" width="12.28125" style="1" customWidth="1"/>
    <col min="14605" max="14605" width="11.7109375" style="1" customWidth="1"/>
    <col min="14606" max="14616" width="12.140625" style="1" customWidth="1"/>
    <col min="14617" max="14666" width="12.140625" style="1" hidden="1" customWidth="1"/>
    <col min="14667" max="14848" width="12.140625" style="1" customWidth="1"/>
    <col min="14849" max="14849" width="4.00390625" style="1" customWidth="1"/>
    <col min="14850" max="14850" width="14.28125" style="1" customWidth="1"/>
    <col min="14851" max="14851" width="62.421875" style="1" customWidth="1"/>
    <col min="14852" max="14852" width="15.8515625" style="1" customWidth="1"/>
    <col min="14853" max="14853" width="10.8515625" style="1" customWidth="1"/>
    <col min="14854" max="14854" width="75.57421875" style="1" customWidth="1"/>
    <col min="14855" max="14855" width="5.8515625" style="1" customWidth="1"/>
    <col min="14856" max="14856" width="11.28125" style="1" customWidth="1"/>
    <col min="14857" max="14857" width="12.00390625" style="1" customWidth="1"/>
    <col min="14858" max="14858" width="10.28125" style="1" customWidth="1"/>
    <col min="14859" max="14859" width="12.00390625" style="1" customWidth="1"/>
    <col min="14860" max="14860" width="12.28125" style="1" customWidth="1"/>
    <col min="14861" max="14861" width="11.7109375" style="1" customWidth="1"/>
    <col min="14862" max="14872" width="12.140625" style="1" customWidth="1"/>
    <col min="14873" max="14922" width="12.140625" style="1" hidden="1" customWidth="1"/>
    <col min="14923" max="15104" width="12.140625" style="1" customWidth="1"/>
    <col min="15105" max="15105" width="4.00390625" style="1" customWidth="1"/>
    <col min="15106" max="15106" width="14.28125" style="1" customWidth="1"/>
    <col min="15107" max="15107" width="62.421875" style="1" customWidth="1"/>
    <col min="15108" max="15108" width="15.8515625" style="1" customWidth="1"/>
    <col min="15109" max="15109" width="10.8515625" style="1" customWidth="1"/>
    <col min="15110" max="15110" width="75.57421875" style="1" customWidth="1"/>
    <col min="15111" max="15111" width="5.8515625" style="1" customWidth="1"/>
    <col min="15112" max="15112" width="11.28125" style="1" customWidth="1"/>
    <col min="15113" max="15113" width="12.00390625" style="1" customWidth="1"/>
    <col min="15114" max="15114" width="10.28125" style="1" customWidth="1"/>
    <col min="15115" max="15115" width="12.00390625" style="1" customWidth="1"/>
    <col min="15116" max="15116" width="12.28125" style="1" customWidth="1"/>
    <col min="15117" max="15117" width="11.7109375" style="1" customWidth="1"/>
    <col min="15118" max="15128" width="12.140625" style="1" customWidth="1"/>
    <col min="15129" max="15178" width="12.140625" style="1" hidden="1" customWidth="1"/>
    <col min="15179" max="15360" width="12.140625" style="1" customWidth="1"/>
    <col min="15361" max="15361" width="4.00390625" style="1" customWidth="1"/>
    <col min="15362" max="15362" width="14.28125" style="1" customWidth="1"/>
    <col min="15363" max="15363" width="62.421875" style="1" customWidth="1"/>
    <col min="15364" max="15364" width="15.8515625" style="1" customWidth="1"/>
    <col min="15365" max="15365" width="10.8515625" style="1" customWidth="1"/>
    <col min="15366" max="15366" width="75.57421875" style="1" customWidth="1"/>
    <col min="15367" max="15367" width="5.8515625" style="1" customWidth="1"/>
    <col min="15368" max="15368" width="11.28125" style="1" customWidth="1"/>
    <col min="15369" max="15369" width="12.00390625" style="1" customWidth="1"/>
    <col min="15370" max="15370" width="10.28125" style="1" customWidth="1"/>
    <col min="15371" max="15371" width="12.00390625" style="1" customWidth="1"/>
    <col min="15372" max="15372" width="12.28125" style="1" customWidth="1"/>
    <col min="15373" max="15373" width="11.7109375" style="1" customWidth="1"/>
    <col min="15374" max="15384" width="12.140625" style="1" customWidth="1"/>
    <col min="15385" max="15434" width="12.140625" style="1" hidden="1" customWidth="1"/>
    <col min="15435" max="15616" width="12.140625" style="1" customWidth="1"/>
    <col min="15617" max="15617" width="4.00390625" style="1" customWidth="1"/>
    <col min="15618" max="15618" width="14.28125" style="1" customWidth="1"/>
    <col min="15619" max="15619" width="62.421875" style="1" customWidth="1"/>
    <col min="15620" max="15620" width="15.8515625" style="1" customWidth="1"/>
    <col min="15621" max="15621" width="10.8515625" style="1" customWidth="1"/>
    <col min="15622" max="15622" width="75.57421875" style="1" customWidth="1"/>
    <col min="15623" max="15623" width="5.8515625" style="1" customWidth="1"/>
    <col min="15624" max="15624" width="11.28125" style="1" customWidth="1"/>
    <col min="15625" max="15625" width="12.00390625" style="1" customWidth="1"/>
    <col min="15626" max="15626" width="10.28125" style="1" customWidth="1"/>
    <col min="15627" max="15627" width="12.00390625" style="1" customWidth="1"/>
    <col min="15628" max="15628" width="12.28125" style="1" customWidth="1"/>
    <col min="15629" max="15629" width="11.7109375" style="1" customWidth="1"/>
    <col min="15630" max="15640" width="12.140625" style="1" customWidth="1"/>
    <col min="15641" max="15690" width="12.140625" style="1" hidden="1" customWidth="1"/>
    <col min="15691" max="15872" width="12.140625" style="1" customWidth="1"/>
    <col min="15873" max="15873" width="4.00390625" style="1" customWidth="1"/>
    <col min="15874" max="15874" width="14.28125" style="1" customWidth="1"/>
    <col min="15875" max="15875" width="62.421875" style="1" customWidth="1"/>
    <col min="15876" max="15876" width="15.8515625" style="1" customWidth="1"/>
    <col min="15877" max="15877" width="10.8515625" style="1" customWidth="1"/>
    <col min="15878" max="15878" width="75.57421875" style="1" customWidth="1"/>
    <col min="15879" max="15879" width="5.8515625" style="1" customWidth="1"/>
    <col min="15880" max="15880" width="11.28125" style="1" customWidth="1"/>
    <col min="15881" max="15881" width="12.00390625" style="1" customWidth="1"/>
    <col min="15882" max="15882" width="10.28125" style="1" customWidth="1"/>
    <col min="15883" max="15883" width="12.00390625" style="1" customWidth="1"/>
    <col min="15884" max="15884" width="12.28125" style="1" customWidth="1"/>
    <col min="15885" max="15885" width="11.7109375" style="1" customWidth="1"/>
    <col min="15886" max="15896" width="12.140625" style="1" customWidth="1"/>
    <col min="15897" max="15946" width="12.140625" style="1" hidden="1" customWidth="1"/>
    <col min="15947" max="16128" width="12.140625" style="1" customWidth="1"/>
    <col min="16129" max="16129" width="4.00390625" style="1" customWidth="1"/>
    <col min="16130" max="16130" width="14.28125" style="1" customWidth="1"/>
    <col min="16131" max="16131" width="62.421875" style="1" customWidth="1"/>
    <col min="16132" max="16132" width="15.8515625" style="1" customWidth="1"/>
    <col min="16133" max="16133" width="10.8515625" style="1" customWidth="1"/>
    <col min="16134" max="16134" width="75.57421875" style="1" customWidth="1"/>
    <col min="16135" max="16135" width="5.8515625" style="1" customWidth="1"/>
    <col min="16136" max="16136" width="11.28125" style="1" customWidth="1"/>
    <col min="16137" max="16137" width="12.00390625" style="1" customWidth="1"/>
    <col min="16138" max="16138" width="10.28125" style="1" customWidth="1"/>
    <col min="16139" max="16139" width="12.00390625" style="1" customWidth="1"/>
    <col min="16140" max="16140" width="12.28125" style="1" customWidth="1"/>
    <col min="16141" max="16141" width="11.7109375" style="1" customWidth="1"/>
    <col min="16142" max="16152" width="12.140625" style="1" customWidth="1"/>
    <col min="16153" max="16202" width="12.140625" style="1" hidden="1" customWidth="1"/>
    <col min="16203" max="16384" width="12.140625" style="1" customWidth="1"/>
  </cols>
  <sheetData>
    <row r="1" spans="1:13" ht="54.75" customHeight="1">
      <c r="A1" s="136" t="str">
        <f>C4</f>
        <v>SO 403 – MAN ul. Hasskova a Martinské nám.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" customHeight="1">
      <c r="A2" s="137" t="s">
        <v>0</v>
      </c>
      <c r="B2" s="138"/>
      <c r="C2" s="139" t="s">
        <v>1</v>
      </c>
      <c r="D2" s="138" t="s">
        <v>2</v>
      </c>
      <c r="E2" s="138" t="s">
        <v>3</v>
      </c>
      <c r="F2" s="142" t="s">
        <v>4</v>
      </c>
      <c r="G2" s="142" t="s">
        <v>5</v>
      </c>
      <c r="H2" s="138"/>
      <c r="I2" s="138"/>
      <c r="J2" s="138"/>
      <c r="K2" s="138"/>
      <c r="L2" s="138"/>
      <c r="M2" s="143"/>
    </row>
    <row r="3" spans="1:13" ht="15" customHeight="1">
      <c r="A3" s="134"/>
      <c r="B3" s="115"/>
      <c r="C3" s="141"/>
      <c r="D3" s="115"/>
      <c r="E3" s="115"/>
      <c r="F3" s="115"/>
      <c r="G3" s="115"/>
      <c r="H3" s="115"/>
      <c r="I3" s="115"/>
      <c r="J3" s="115"/>
      <c r="K3" s="115"/>
      <c r="L3" s="115"/>
      <c r="M3" s="133"/>
    </row>
    <row r="4" spans="1:13" ht="15" customHeight="1">
      <c r="A4" s="129" t="s">
        <v>6</v>
      </c>
      <c r="B4" s="115"/>
      <c r="C4" s="114" t="s">
        <v>1283</v>
      </c>
      <c r="D4" s="115" t="s">
        <v>8</v>
      </c>
      <c r="E4" s="115"/>
      <c r="F4" s="114" t="s">
        <v>9</v>
      </c>
      <c r="G4" s="114" t="s">
        <v>1282</v>
      </c>
      <c r="H4" s="115"/>
      <c r="I4" s="115"/>
      <c r="J4" s="115"/>
      <c r="K4" s="115"/>
      <c r="L4" s="115"/>
      <c r="M4" s="133"/>
    </row>
    <row r="5" spans="1:13" ht="15" customHeight="1">
      <c r="A5" s="13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33"/>
    </row>
    <row r="6" spans="1:13" ht="15" customHeight="1">
      <c r="A6" s="129" t="s">
        <v>11</v>
      </c>
      <c r="B6" s="115"/>
      <c r="C6" s="114" t="s">
        <v>12</v>
      </c>
      <c r="D6" s="115" t="s">
        <v>13</v>
      </c>
      <c r="E6" s="115" t="s">
        <v>3</v>
      </c>
      <c r="F6" s="114" t="s">
        <v>14</v>
      </c>
      <c r="G6" s="115" t="s">
        <v>15</v>
      </c>
      <c r="H6" s="115"/>
      <c r="I6" s="115"/>
      <c r="J6" s="115"/>
      <c r="K6" s="115"/>
      <c r="L6" s="115"/>
      <c r="M6" s="133"/>
    </row>
    <row r="7" spans="1:13" ht="15" customHeight="1">
      <c r="A7" s="13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33"/>
    </row>
    <row r="8" spans="1:13" ht="15" customHeight="1">
      <c r="A8" s="129" t="s">
        <v>16</v>
      </c>
      <c r="B8" s="115"/>
      <c r="C8" s="114" t="s">
        <v>3</v>
      </c>
      <c r="D8" s="115" t="s">
        <v>17</v>
      </c>
      <c r="E8" s="115" t="s">
        <v>18</v>
      </c>
      <c r="F8" s="114" t="s">
        <v>19</v>
      </c>
      <c r="G8" s="114" t="s">
        <v>1280</v>
      </c>
      <c r="H8" s="115"/>
      <c r="I8" s="115"/>
      <c r="J8" s="115"/>
      <c r="K8" s="115"/>
      <c r="L8" s="115"/>
      <c r="M8" s="133"/>
    </row>
    <row r="9" spans="1:13" ht="15" customHeight="1" thickBot="1">
      <c r="A9" s="13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33"/>
    </row>
    <row r="10" spans="1:64" ht="15" customHeight="1">
      <c r="A10" s="5" t="s">
        <v>21</v>
      </c>
      <c r="B10" s="6" t="s">
        <v>22</v>
      </c>
      <c r="C10" s="145" t="s">
        <v>23</v>
      </c>
      <c r="D10" s="145"/>
      <c r="E10" s="145"/>
      <c r="F10" s="146"/>
      <c r="G10" s="6" t="s">
        <v>24</v>
      </c>
      <c r="H10" s="7" t="s">
        <v>25</v>
      </c>
      <c r="I10" s="8" t="s">
        <v>26</v>
      </c>
      <c r="J10" s="173" t="s">
        <v>27</v>
      </c>
      <c r="K10" s="174"/>
      <c r="L10" s="175"/>
      <c r="M10" s="9" t="s">
        <v>28</v>
      </c>
      <c r="BK10" s="10" t="s">
        <v>29</v>
      </c>
      <c r="BL10" s="11" t="s">
        <v>30</v>
      </c>
    </row>
    <row r="11" spans="1:62" ht="15" customHeight="1">
      <c r="A11" s="48" t="s">
        <v>3</v>
      </c>
      <c r="B11" s="4" t="s">
        <v>3</v>
      </c>
      <c r="C11" s="141" t="s">
        <v>31</v>
      </c>
      <c r="D11" s="141"/>
      <c r="E11" s="141"/>
      <c r="F11" s="176"/>
      <c r="G11" s="4" t="s">
        <v>3</v>
      </c>
      <c r="H11" s="4" t="s">
        <v>3</v>
      </c>
      <c r="I11" s="49" t="s">
        <v>32</v>
      </c>
      <c r="J11" s="50" t="s">
        <v>33</v>
      </c>
      <c r="K11" s="51" t="s">
        <v>34</v>
      </c>
      <c r="L11" s="52" t="s">
        <v>35</v>
      </c>
      <c r="M11" s="52" t="s">
        <v>36</v>
      </c>
      <c r="Z11" s="10" t="s">
        <v>37</v>
      </c>
      <c r="AA11" s="10" t="s">
        <v>38</v>
      </c>
      <c r="AB11" s="10" t="s">
        <v>39</v>
      </c>
      <c r="AC11" s="10" t="s">
        <v>40</v>
      </c>
      <c r="AD11" s="10" t="s">
        <v>41</v>
      </c>
      <c r="AE11" s="10" t="s">
        <v>42</v>
      </c>
      <c r="AF11" s="10" t="s">
        <v>43</v>
      </c>
      <c r="AG11" s="10" t="s">
        <v>44</v>
      </c>
      <c r="AH11" s="10" t="s">
        <v>45</v>
      </c>
      <c r="BH11" s="10" t="s">
        <v>46</v>
      </c>
      <c r="BI11" s="10" t="s">
        <v>47</v>
      </c>
      <c r="BJ11" s="10" t="s">
        <v>48</v>
      </c>
    </row>
    <row r="12" spans="1:47" ht="15" customHeight="1">
      <c r="A12" s="53" t="s">
        <v>49</v>
      </c>
      <c r="B12" s="54"/>
      <c r="C12" s="177" t="str">
        <f>C4</f>
        <v>SO 403 – MAN ul. Hasskova a Martinské nám.</v>
      </c>
      <c r="D12" s="177"/>
      <c r="E12" s="177"/>
      <c r="F12" s="177"/>
      <c r="G12" s="55" t="s">
        <v>3</v>
      </c>
      <c r="H12" s="55" t="s">
        <v>3</v>
      </c>
      <c r="I12" s="55" t="s">
        <v>3</v>
      </c>
      <c r="J12" s="56">
        <f>SUM(J13:J13)</f>
        <v>0</v>
      </c>
      <c r="K12" s="56">
        <f>SUM(K13:K13)</f>
        <v>0</v>
      </c>
      <c r="L12" s="56">
        <f>L13</f>
        <v>0</v>
      </c>
      <c r="M12" s="57" t="s">
        <v>49</v>
      </c>
      <c r="AI12" s="10" t="s">
        <v>49</v>
      </c>
      <c r="AS12" s="19">
        <f>SUM(AJ13:AJ13)</f>
        <v>0</v>
      </c>
      <c r="AT12" s="19">
        <f>SUM(AK13:AK13)</f>
        <v>0</v>
      </c>
      <c r="AU12" s="19">
        <f>SUM(AL13:AL13)</f>
        <v>0</v>
      </c>
    </row>
    <row r="13" spans="1:64" ht="15" customHeight="1">
      <c r="A13" s="58" t="s">
        <v>52</v>
      </c>
      <c r="B13" s="3"/>
      <c r="C13" s="115" t="str">
        <f>C4</f>
        <v>SO 403 – MAN ul. Hasskova a Martinské nám.</v>
      </c>
      <c r="D13" s="115"/>
      <c r="E13" s="115"/>
      <c r="F13" s="115"/>
      <c r="G13" s="3" t="s">
        <v>1185</v>
      </c>
      <c r="H13" s="20">
        <v>1</v>
      </c>
      <c r="I13" s="106"/>
      <c r="J13" s="20">
        <f>H13*AO13</f>
        <v>0</v>
      </c>
      <c r="K13" s="20">
        <f>H13*AP13</f>
        <v>0</v>
      </c>
      <c r="L13" s="20">
        <f>H13*I13</f>
        <v>0</v>
      </c>
      <c r="M13" s="59"/>
      <c r="Z13" s="20">
        <f>IF(AQ13="5",BJ13,0)</f>
        <v>0</v>
      </c>
      <c r="AB13" s="20">
        <f>IF(AQ13="1",BH13,0)</f>
        <v>0</v>
      </c>
      <c r="AC13" s="20">
        <f>IF(AQ13="1",BI13,0)</f>
        <v>0</v>
      </c>
      <c r="AD13" s="20">
        <f>IF(AQ13="7",BH13,0)</f>
        <v>0</v>
      </c>
      <c r="AE13" s="20">
        <f>IF(AQ13="7",BI13,0)</f>
        <v>0</v>
      </c>
      <c r="AF13" s="20">
        <f>IF(AQ13="2",BH13,0)</f>
        <v>0</v>
      </c>
      <c r="AG13" s="20">
        <f>IF(AQ13="2",BI13,0)</f>
        <v>0</v>
      </c>
      <c r="AH13" s="20">
        <f>IF(AQ13="0",BJ13,0)</f>
        <v>0</v>
      </c>
      <c r="AI13" s="10" t="s">
        <v>49</v>
      </c>
      <c r="AJ13" s="20">
        <f>IF(AN13=0,L13,0)</f>
        <v>0</v>
      </c>
      <c r="AK13" s="20">
        <f>IF(AN13=15,L13,0)</f>
        <v>0</v>
      </c>
      <c r="AL13" s="20">
        <f>IF(AN13=21,L13,0)</f>
        <v>0</v>
      </c>
      <c r="AN13" s="20">
        <v>21</v>
      </c>
      <c r="AO13" s="20">
        <f>I13*0</f>
        <v>0</v>
      </c>
      <c r="AP13" s="20">
        <f>I13*(1-0)</f>
        <v>0</v>
      </c>
      <c r="AQ13" s="21" t="s">
        <v>52</v>
      </c>
      <c r="AV13" s="20">
        <f>AW13+AX13</f>
        <v>0</v>
      </c>
      <c r="AW13" s="20">
        <f>H13*AO13</f>
        <v>0</v>
      </c>
      <c r="AX13" s="20">
        <f>H13*AP13</f>
        <v>0</v>
      </c>
      <c r="AY13" s="21" t="s">
        <v>56</v>
      </c>
      <c r="AZ13" s="21" t="s">
        <v>57</v>
      </c>
      <c r="BA13" s="10" t="s">
        <v>58</v>
      </c>
      <c r="BC13" s="20">
        <f>AW13+AX13</f>
        <v>0</v>
      </c>
      <c r="BD13" s="20">
        <f>I13/(100-BE13)*100</f>
        <v>0</v>
      </c>
      <c r="BE13" s="20">
        <v>0</v>
      </c>
      <c r="BF13" s="20">
        <f>13</f>
        <v>13</v>
      </c>
      <c r="BH13" s="20">
        <f>H13*AO13</f>
        <v>0</v>
      </c>
      <c r="BI13" s="20">
        <f>H13*AP13</f>
        <v>0</v>
      </c>
      <c r="BJ13" s="20">
        <f>H13*I13</f>
        <v>0</v>
      </c>
      <c r="BK13" s="20"/>
      <c r="BL13" s="20">
        <v>11</v>
      </c>
    </row>
    <row r="14" spans="1:13" ht="15" customHeight="1">
      <c r="A14" s="60"/>
      <c r="B14" s="61"/>
      <c r="C14" s="61"/>
      <c r="D14" s="61"/>
      <c r="E14" s="61"/>
      <c r="F14" s="61"/>
      <c r="G14" s="61"/>
      <c r="H14" s="61"/>
      <c r="I14" s="61"/>
      <c r="J14" s="172" t="s">
        <v>1081</v>
      </c>
      <c r="K14" s="172"/>
      <c r="L14" s="62">
        <f>L13</f>
        <v>0</v>
      </c>
      <c r="M14" s="63"/>
    </row>
  </sheetData>
  <sheetProtection algorithmName="SHA-512" hashValue="9o2M9y00k3SzjuDx01kOdFlS8Ld8YMJnBghci2EpD4eB9l6+2v/y08LtQ31UzKexHwSvvRkHoRUSP1x+Z5paYQ==" saltValue="qwjIXbMFo94KbK+J7jwZQw==" spinCount="100000" sheet="1" objects="1" scenarios="1"/>
  <mergeCells count="31">
    <mergeCell ref="A1:M1"/>
    <mergeCell ref="A2:B3"/>
    <mergeCell ref="C2:C3"/>
    <mergeCell ref="D2:D3"/>
    <mergeCell ref="E2:E3"/>
    <mergeCell ref="F2:F3"/>
    <mergeCell ref="G2:M3"/>
    <mergeCell ref="G6:M7"/>
    <mergeCell ref="A4:B5"/>
    <mergeCell ref="C4:C5"/>
    <mergeCell ref="D4:D5"/>
    <mergeCell ref="E4:E5"/>
    <mergeCell ref="F4:F5"/>
    <mergeCell ref="G4:M5"/>
    <mergeCell ref="A6:B7"/>
    <mergeCell ref="C6:C7"/>
    <mergeCell ref="D6:D7"/>
    <mergeCell ref="E6:E7"/>
    <mergeCell ref="F6:F7"/>
    <mergeCell ref="J14:K14"/>
    <mergeCell ref="A8:B9"/>
    <mergeCell ref="C8:C9"/>
    <mergeCell ref="D8:D9"/>
    <mergeCell ref="E8:E9"/>
    <mergeCell ref="F8:F9"/>
    <mergeCell ref="G8:M9"/>
    <mergeCell ref="C10:F10"/>
    <mergeCell ref="J10:L10"/>
    <mergeCell ref="C11:F11"/>
    <mergeCell ref="C12:F12"/>
    <mergeCell ref="C13:F1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"/>
  <sheetViews>
    <sheetView workbookViewId="0" topLeftCell="A1">
      <selection activeCell="C13" sqref="C13:F13"/>
    </sheetView>
  </sheetViews>
  <sheetFormatPr defaultColWidth="12.140625" defaultRowHeight="15"/>
  <cols>
    <col min="1" max="1" width="4.00390625" style="1" customWidth="1"/>
    <col min="2" max="2" width="14.28125" style="1" customWidth="1"/>
    <col min="3" max="3" width="62.421875" style="1" customWidth="1"/>
    <col min="4" max="4" width="15.8515625" style="1" customWidth="1"/>
    <col min="5" max="5" width="10.8515625" style="1" customWidth="1"/>
    <col min="6" max="6" width="75.57421875" style="1" customWidth="1"/>
    <col min="7" max="7" width="5.8515625" style="1" customWidth="1"/>
    <col min="8" max="8" width="11.28125" style="1" customWidth="1"/>
    <col min="9" max="9" width="12.00390625" style="1" customWidth="1"/>
    <col min="10" max="10" width="10.28125" style="1" customWidth="1"/>
    <col min="11" max="11" width="12.00390625" style="1" customWidth="1"/>
    <col min="12" max="12" width="12.28125" style="1" customWidth="1"/>
    <col min="13" max="13" width="11.7109375" style="1" customWidth="1"/>
    <col min="14" max="24" width="12.140625" style="1" customWidth="1"/>
    <col min="25" max="74" width="12.140625" style="1" hidden="1" customWidth="1"/>
    <col min="75" max="256" width="12.140625" style="1" customWidth="1"/>
    <col min="257" max="257" width="4.00390625" style="1" customWidth="1"/>
    <col min="258" max="258" width="14.28125" style="1" customWidth="1"/>
    <col min="259" max="259" width="62.421875" style="1" customWidth="1"/>
    <col min="260" max="260" width="15.8515625" style="1" customWidth="1"/>
    <col min="261" max="261" width="10.8515625" style="1" customWidth="1"/>
    <col min="262" max="262" width="75.57421875" style="1" customWidth="1"/>
    <col min="263" max="263" width="5.8515625" style="1" customWidth="1"/>
    <col min="264" max="264" width="11.28125" style="1" customWidth="1"/>
    <col min="265" max="265" width="12.00390625" style="1" customWidth="1"/>
    <col min="266" max="266" width="10.28125" style="1" customWidth="1"/>
    <col min="267" max="267" width="12.00390625" style="1" customWidth="1"/>
    <col min="268" max="268" width="12.28125" style="1" customWidth="1"/>
    <col min="269" max="269" width="11.7109375" style="1" customWidth="1"/>
    <col min="270" max="280" width="12.140625" style="1" customWidth="1"/>
    <col min="281" max="330" width="12.140625" style="1" hidden="1" customWidth="1"/>
    <col min="331" max="512" width="12.140625" style="1" customWidth="1"/>
    <col min="513" max="513" width="4.00390625" style="1" customWidth="1"/>
    <col min="514" max="514" width="14.28125" style="1" customWidth="1"/>
    <col min="515" max="515" width="62.421875" style="1" customWidth="1"/>
    <col min="516" max="516" width="15.8515625" style="1" customWidth="1"/>
    <col min="517" max="517" width="10.8515625" style="1" customWidth="1"/>
    <col min="518" max="518" width="75.57421875" style="1" customWidth="1"/>
    <col min="519" max="519" width="5.8515625" style="1" customWidth="1"/>
    <col min="520" max="520" width="11.28125" style="1" customWidth="1"/>
    <col min="521" max="521" width="12.00390625" style="1" customWidth="1"/>
    <col min="522" max="522" width="10.28125" style="1" customWidth="1"/>
    <col min="523" max="523" width="12.00390625" style="1" customWidth="1"/>
    <col min="524" max="524" width="12.28125" style="1" customWidth="1"/>
    <col min="525" max="525" width="11.7109375" style="1" customWidth="1"/>
    <col min="526" max="536" width="12.140625" style="1" customWidth="1"/>
    <col min="537" max="586" width="12.140625" style="1" hidden="1" customWidth="1"/>
    <col min="587" max="768" width="12.140625" style="1" customWidth="1"/>
    <col min="769" max="769" width="4.00390625" style="1" customWidth="1"/>
    <col min="770" max="770" width="14.28125" style="1" customWidth="1"/>
    <col min="771" max="771" width="62.421875" style="1" customWidth="1"/>
    <col min="772" max="772" width="15.8515625" style="1" customWidth="1"/>
    <col min="773" max="773" width="10.8515625" style="1" customWidth="1"/>
    <col min="774" max="774" width="75.57421875" style="1" customWidth="1"/>
    <col min="775" max="775" width="5.8515625" style="1" customWidth="1"/>
    <col min="776" max="776" width="11.28125" style="1" customWidth="1"/>
    <col min="777" max="777" width="12.00390625" style="1" customWidth="1"/>
    <col min="778" max="778" width="10.28125" style="1" customWidth="1"/>
    <col min="779" max="779" width="12.00390625" style="1" customWidth="1"/>
    <col min="780" max="780" width="12.28125" style="1" customWidth="1"/>
    <col min="781" max="781" width="11.7109375" style="1" customWidth="1"/>
    <col min="782" max="792" width="12.140625" style="1" customWidth="1"/>
    <col min="793" max="842" width="12.140625" style="1" hidden="1" customWidth="1"/>
    <col min="843" max="1024" width="12.140625" style="1" customWidth="1"/>
    <col min="1025" max="1025" width="4.00390625" style="1" customWidth="1"/>
    <col min="1026" max="1026" width="14.28125" style="1" customWidth="1"/>
    <col min="1027" max="1027" width="62.421875" style="1" customWidth="1"/>
    <col min="1028" max="1028" width="15.8515625" style="1" customWidth="1"/>
    <col min="1029" max="1029" width="10.8515625" style="1" customWidth="1"/>
    <col min="1030" max="1030" width="75.57421875" style="1" customWidth="1"/>
    <col min="1031" max="1031" width="5.8515625" style="1" customWidth="1"/>
    <col min="1032" max="1032" width="11.28125" style="1" customWidth="1"/>
    <col min="1033" max="1033" width="12.00390625" style="1" customWidth="1"/>
    <col min="1034" max="1034" width="10.28125" style="1" customWidth="1"/>
    <col min="1035" max="1035" width="12.00390625" style="1" customWidth="1"/>
    <col min="1036" max="1036" width="12.28125" style="1" customWidth="1"/>
    <col min="1037" max="1037" width="11.7109375" style="1" customWidth="1"/>
    <col min="1038" max="1048" width="12.140625" style="1" customWidth="1"/>
    <col min="1049" max="1098" width="12.140625" style="1" hidden="1" customWidth="1"/>
    <col min="1099" max="1280" width="12.140625" style="1" customWidth="1"/>
    <col min="1281" max="1281" width="4.00390625" style="1" customWidth="1"/>
    <col min="1282" max="1282" width="14.28125" style="1" customWidth="1"/>
    <col min="1283" max="1283" width="62.421875" style="1" customWidth="1"/>
    <col min="1284" max="1284" width="15.8515625" style="1" customWidth="1"/>
    <col min="1285" max="1285" width="10.8515625" style="1" customWidth="1"/>
    <col min="1286" max="1286" width="75.57421875" style="1" customWidth="1"/>
    <col min="1287" max="1287" width="5.8515625" style="1" customWidth="1"/>
    <col min="1288" max="1288" width="11.28125" style="1" customWidth="1"/>
    <col min="1289" max="1289" width="12.00390625" style="1" customWidth="1"/>
    <col min="1290" max="1290" width="10.28125" style="1" customWidth="1"/>
    <col min="1291" max="1291" width="12.00390625" style="1" customWidth="1"/>
    <col min="1292" max="1292" width="12.28125" style="1" customWidth="1"/>
    <col min="1293" max="1293" width="11.7109375" style="1" customWidth="1"/>
    <col min="1294" max="1304" width="12.140625" style="1" customWidth="1"/>
    <col min="1305" max="1354" width="12.140625" style="1" hidden="1" customWidth="1"/>
    <col min="1355" max="1536" width="12.140625" style="1" customWidth="1"/>
    <col min="1537" max="1537" width="4.00390625" style="1" customWidth="1"/>
    <col min="1538" max="1538" width="14.28125" style="1" customWidth="1"/>
    <col min="1539" max="1539" width="62.421875" style="1" customWidth="1"/>
    <col min="1540" max="1540" width="15.8515625" style="1" customWidth="1"/>
    <col min="1541" max="1541" width="10.8515625" style="1" customWidth="1"/>
    <col min="1542" max="1542" width="75.57421875" style="1" customWidth="1"/>
    <col min="1543" max="1543" width="5.8515625" style="1" customWidth="1"/>
    <col min="1544" max="1544" width="11.28125" style="1" customWidth="1"/>
    <col min="1545" max="1545" width="12.00390625" style="1" customWidth="1"/>
    <col min="1546" max="1546" width="10.28125" style="1" customWidth="1"/>
    <col min="1547" max="1547" width="12.00390625" style="1" customWidth="1"/>
    <col min="1548" max="1548" width="12.28125" style="1" customWidth="1"/>
    <col min="1549" max="1549" width="11.7109375" style="1" customWidth="1"/>
    <col min="1550" max="1560" width="12.140625" style="1" customWidth="1"/>
    <col min="1561" max="1610" width="12.140625" style="1" hidden="1" customWidth="1"/>
    <col min="1611" max="1792" width="12.140625" style="1" customWidth="1"/>
    <col min="1793" max="1793" width="4.00390625" style="1" customWidth="1"/>
    <col min="1794" max="1794" width="14.28125" style="1" customWidth="1"/>
    <col min="1795" max="1795" width="62.421875" style="1" customWidth="1"/>
    <col min="1796" max="1796" width="15.8515625" style="1" customWidth="1"/>
    <col min="1797" max="1797" width="10.8515625" style="1" customWidth="1"/>
    <col min="1798" max="1798" width="75.57421875" style="1" customWidth="1"/>
    <col min="1799" max="1799" width="5.8515625" style="1" customWidth="1"/>
    <col min="1800" max="1800" width="11.28125" style="1" customWidth="1"/>
    <col min="1801" max="1801" width="12.00390625" style="1" customWidth="1"/>
    <col min="1802" max="1802" width="10.28125" style="1" customWidth="1"/>
    <col min="1803" max="1803" width="12.00390625" style="1" customWidth="1"/>
    <col min="1804" max="1804" width="12.28125" style="1" customWidth="1"/>
    <col min="1805" max="1805" width="11.7109375" style="1" customWidth="1"/>
    <col min="1806" max="1816" width="12.140625" style="1" customWidth="1"/>
    <col min="1817" max="1866" width="12.140625" style="1" hidden="1" customWidth="1"/>
    <col min="1867" max="2048" width="12.140625" style="1" customWidth="1"/>
    <col min="2049" max="2049" width="4.00390625" style="1" customWidth="1"/>
    <col min="2050" max="2050" width="14.28125" style="1" customWidth="1"/>
    <col min="2051" max="2051" width="62.421875" style="1" customWidth="1"/>
    <col min="2052" max="2052" width="15.8515625" style="1" customWidth="1"/>
    <col min="2053" max="2053" width="10.8515625" style="1" customWidth="1"/>
    <col min="2054" max="2054" width="75.57421875" style="1" customWidth="1"/>
    <col min="2055" max="2055" width="5.8515625" style="1" customWidth="1"/>
    <col min="2056" max="2056" width="11.28125" style="1" customWidth="1"/>
    <col min="2057" max="2057" width="12.00390625" style="1" customWidth="1"/>
    <col min="2058" max="2058" width="10.28125" style="1" customWidth="1"/>
    <col min="2059" max="2059" width="12.00390625" style="1" customWidth="1"/>
    <col min="2060" max="2060" width="12.28125" style="1" customWidth="1"/>
    <col min="2061" max="2061" width="11.7109375" style="1" customWidth="1"/>
    <col min="2062" max="2072" width="12.140625" style="1" customWidth="1"/>
    <col min="2073" max="2122" width="12.140625" style="1" hidden="1" customWidth="1"/>
    <col min="2123" max="2304" width="12.140625" style="1" customWidth="1"/>
    <col min="2305" max="2305" width="4.00390625" style="1" customWidth="1"/>
    <col min="2306" max="2306" width="14.28125" style="1" customWidth="1"/>
    <col min="2307" max="2307" width="62.421875" style="1" customWidth="1"/>
    <col min="2308" max="2308" width="15.8515625" style="1" customWidth="1"/>
    <col min="2309" max="2309" width="10.8515625" style="1" customWidth="1"/>
    <col min="2310" max="2310" width="75.57421875" style="1" customWidth="1"/>
    <col min="2311" max="2311" width="5.8515625" style="1" customWidth="1"/>
    <col min="2312" max="2312" width="11.28125" style="1" customWidth="1"/>
    <col min="2313" max="2313" width="12.00390625" style="1" customWidth="1"/>
    <col min="2314" max="2314" width="10.28125" style="1" customWidth="1"/>
    <col min="2315" max="2315" width="12.00390625" style="1" customWidth="1"/>
    <col min="2316" max="2316" width="12.28125" style="1" customWidth="1"/>
    <col min="2317" max="2317" width="11.7109375" style="1" customWidth="1"/>
    <col min="2318" max="2328" width="12.140625" style="1" customWidth="1"/>
    <col min="2329" max="2378" width="12.140625" style="1" hidden="1" customWidth="1"/>
    <col min="2379" max="2560" width="12.140625" style="1" customWidth="1"/>
    <col min="2561" max="2561" width="4.00390625" style="1" customWidth="1"/>
    <col min="2562" max="2562" width="14.28125" style="1" customWidth="1"/>
    <col min="2563" max="2563" width="62.421875" style="1" customWidth="1"/>
    <col min="2564" max="2564" width="15.8515625" style="1" customWidth="1"/>
    <col min="2565" max="2565" width="10.8515625" style="1" customWidth="1"/>
    <col min="2566" max="2566" width="75.57421875" style="1" customWidth="1"/>
    <col min="2567" max="2567" width="5.8515625" style="1" customWidth="1"/>
    <col min="2568" max="2568" width="11.28125" style="1" customWidth="1"/>
    <col min="2569" max="2569" width="12.00390625" style="1" customWidth="1"/>
    <col min="2570" max="2570" width="10.28125" style="1" customWidth="1"/>
    <col min="2571" max="2571" width="12.00390625" style="1" customWidth="1"/>
    <col min="2572" max="2572" width="12.28125" style="1" customWidth="1"/>
    <col min="2573" max="2573" width="11.7109375" style="1" customWidth="1"/>
    <col min="2574" max="2584" width="12.140625" style="1" customWidth="1"/>
    <col min="2585" max="2634" width="12.140625" style="1" hidden="1" customWidth="1"/>
    <col min="2635" max="2816" width="12.140625" style="1" customWidth="1"/>
    <col min="2817" max="2817" width="4.00390625" style="1" customWidth="1"/>
    <col min="2818" max="2818" width="14.28125" style="1" customWidth="1"/>
    <col min="2819" max="2819" width="62.421875" style="1" customWidth="1"/>
    <col min="2820" max="2820" width="15.8515625" style="1" customWidth="1"/>
    <col min="2821" max="2821" width="10.8515625" style="1" customWidth="1"/>
    <col min="2822" max="2822" width="75.57421875" style="1" customWidth="1"/>
    <col min="2823" max="2823" width="5.8515625" style="1" customWidth="1"/>
    <col min="2824" max="2824" width="11.28125" style="1" customWidth="1"/>
    <col min="2825" max="2825" width="12.00390625" style="1" customWidth="1"/>
    <col min="2826" max="2826" width="10.28125" style="1" customWidth="1"/>
    <col min="2827" max="2827" width="12.00390625" style="1" customWidth="1"/>
    <col min="2828" max="2828" width="12.28125" style="1" customWidth="1"/>
    <col min="2829" max="2829" width="11.7109375" style="1" customWidth="1"/>
    <col min="2830" max="2840" width="12.140625" style="1" customWidth="1"/>
    <col min="2841" max="2890" width="12.140625" style="1" hidden="1" customWidth="1"/>
    <col min="2891" max="3072" width="12.140625" style="1" customWidth="1"/>
    <col min="3073" max="3073" width="4.00390625" style="1" customWidth="1"/>
    <col min="3074" max="3074" width="14.28125" style="1" customWidth="1"/>
    <col min="3075" max="3075" width="62.421875" style="1" customWidth="1"/>
    <col min="3076" max="3076" width="15.8515625" style="1" customWidth="1"/>
    <col min="3077" max="3077" width="10.8515625" style="1" customWidth="1"/>
    <col min="3078" max="3078" width="75.57421875" style="1" customWidth="1"/>
    <col min="3079" max="3079" width="5.8515625" style="1" customWidth="1"/>
    <col min="3080" max="3080" width="11.28125" style="1" customWidth="1"/>
    <col min="3081" max="3081" width="12.00390625" style="1" customWidth="1"/>
    <col min="3082" max="3082" width="10.28125" style="1" customWidth="1"/>
    <col min="3083" max="3083" width="12.00390625" style="1" customWidth="1"/>
    <col min="3084" max="3084" width="12.28125" style="1" customWidth="1"/>
    <col min="3085" max="3085" width="11.7109375" style="1" customWidth="1"/>
    <col min="3086" max="3096" width="12.140625" style="1" customWidth="1"/>
    <col min="3097" max="3146" width="12.140625" style="1" hidden="1" customWidth="1"/>
    <col min="3147" max="3328" width="12.140625" style="1" customWidth="1"/>
    <col min="3329" max="3329" width="4.00390625" style="1" customWidth="1"/>
    <col min="3330" max="3330" width="14.28125" style="1" customWidth="1"/>
    <col min="3331" max="3331" width="62.421875" style="1" customWidth="1"/>
    <col min="3332" max="3332" width="15.8515625" style="1" customWidth="1"/>
    <col min="3333" max="3333" width="10.8515625" style="1" customWidth="1"/>
    <col min="3334" max="3334" width="75.57421875" style="1" customWidth="1"/>
    <col min="3335" max="3335" width="5.8515625" style="1" customWidth="1"/>
    <col min="3336" max="3336" width="11.28125" style="1" customWidth="1"/>
    <col min="3337" max="3337" width="12.00390625" style="1" customWidth="1"/>
    <col min="3338" max="3338" width="10.28125" style="1" customWidth="1"/>
    <col min="3339" max="3339" width="12.00390625" style="1" customWidth="1"/>
    <col min="3340" max="3340" width="12.28125" style="1" customWidth="1"/>
    <col min="3341" max="3341" width="11.7109375" style="1" customWidth="1"/>
    <col min="3342" max="3352" width="12.140625" style="1" customWidth="1"/>
    <col min="3353" max="3402" width="12.140625" style="1" hidden="1" customWidth="1"/>
    <col min="3403" max="3584" width="12.140625" style="1" customWidth="1"/>
    <col min="3585" max="3585" width="4.00390625" style="1" customWidth="1"/>
    <col min="3586" max="3586" width="14.28125" style="1" customWidth="1"/>
    <col min="3587" max="3587" width="62.421875" style="1" customWidth="1"/>
    <col min="3588" max="3588" width="15.8515625" style="1" customWidth="1"/>
    <col min="3589" max="3589" width="10.8515625" style="1" customWidth="1"/>
    <col min="3590" max="3590" width="75.57421875" style="1" customWidth="1"/>
    <col min="3591" max="3591" width="5.8515625" style="1" customWidth="1"/>
    <col min="3592" max="3592" width="11.28125" style="1" customWidth="1"/>
    <col min="3593" max="3593" width="12.00390625" style="1" customWidth="1"/>
    <col min="3594" max="3594" width="10.28125" style="1" customWidth="1"/>
    <col min="3595" max="3595" width="12.00390625" style="1" customWidth="1"/>
    <col min="3596" max="3596" width="12.28125" style="1" customWidth="1"/>
    <col min="3597" max="3597" width="11.7109375" style="1" customWidth="1"/>
    <col min="3598" max="3608" width="12.140625" style="1" customWidth="1"/>
    <col min="3609" max="3658" width="12.140625" style="1" hidden="1" customWidth="1"/>
    <col min="3659" max="3840" width="12.140625" style="1" customWidth="1"/>
    <col min="3841" max="3841" width="4.00390625" style="1" customWidth="1"/>
    <col min="3842" max="3842" width="14.28125" style="1" customWidth="1"/>
    <col min="3843" max="3843" width="62.421875" style="1" customWidth="1"/>
    <col min="3844" max="3844" width="15.8515625" style="1" customWidth="1"/>
    <col min="3845" max="3845" width="10.8515625" style="1" customWidth="1"/>
    <col min="3846" max="3846" width="75.57421875" style="1" customWidth="1"/>
    <col min="3847" max="3847" width="5.8515625" style="1" customWidth="1"/>
    <col min="3848" max="3848" width="11.28125" style="1" customWidth="1"/>
    <col min="3849" max="3849" width="12.00390625" style="1" customWidth="1"/>
    <col min="3850" max="3850" width="10.28125" style="1" customWidth="1"/>
    <col min="3851" max="3851" width="12.00390625" style="1" customWidth="1"/>
    <col min="3852" max="3852" width="12.28125" style="1" customWidth="1"/>
    <col min="3853" max="3853" width="11.7109375" style="1" customWidth="1"/>
    <col min="3854" max="3864" width="12.140625" style="1" customWidth="1"/>
    <col min="3865" max="3914" width="12.140625" style="1" hidden="1" customWidth="1"/>
    <col min="3915" max="4096" width="12.140625" style="1" customWidth="1"/>
    <col min="4097" max="4097" width="4.00390625" style="1" customWidth="1"/>
    <col min="4098" max="4098" width="14.28125" style="1" customWidth="1"/>
    <col min="4099" max="4099" width="62.421875" style="1" customWidth="1"/>
    <col min="4100" max="4100" width="15.8515625" style="1" customWidth="1"/>
    <col min="4101" max="4101" width="10.8515625" style="1" customWidth="1"/>
    <col min="4102" max="4102" width="75.57421875" style="1" customWidth="1"/>
    <col min="4103" max="4103" width="5.8515625" style="1" customWidth="1"/>
    <col min="4104" max="4104" width="11.28125" style="1" customWidth="1"/>
    <col min="4105" max="4105" width="12.00390625" style="1" customWidth="1"/>
    <col min="4106" max="4106" width="10.28125" style="1" customWidth="1"/>
    <col min="4107" max="4107" width="12.00390625" style="1" customWidth="1"/>
    <col min="4108" max="4108" width="12.28125" style="1" customWidth="1"/>
    <col min="4109" max="4109" width="11.7109375" style="1" customWidth="1"/>
    <col min="4110" max="4120" width="12.140625" style="1" customWidth="1"/>
    <col min="4121" max="4170" width="12.140625" style="1" hidden="1" customWidth="1"/>
    <col min="4171" max="4352" width="12.140625" style="1" customWidth="1"/>
    <col min="4353" max="4353" width="4.00390625" style="1" customWidth="1"/>
    <col min="4354" max="4354" width="14.28125" style="1" customWidth="1"/>
    <col min="4355" max="4355" width="62.421875" style="1" customWidth="1"/>
    <col min="4356" max="4356" width="15.8515625" style="1" customWidth="1"/>
    <col min="4357" max="4357" width="10.8515625" style="1" customWidth="1"/>
    <col min="4358" max="4358" width="75.57421875" style="1" customWidth="1"/>
    <col min="4359" max="4359" width="5.8515625" style="1" customWidth="1"/>
    <col min="4360" max="4360" width="11.28125" style="1" customWidth="1"/>
    <col min="4361" max="4361" width="12.00390625" style="1" customWidth="1"/>
    <col min="4362" max="4362" width="10.28125" style="1" customWidth="1"/>
    <col min="4363" max="4363" width="12.00390625" style="1" customWidth="1"/>
    <col min="4364" max="4364" width="12.28125" style="1" customWidth="1"/>
    <col min="4365" max="4365" width="11.7109375" style="1" customWidth="1"/>
    <col min="4366" max="4376" width="12.140625" style="1" customWidth="1"/>
    <col min="4377" max="4426" width="12.140625" style="1" hidden="1" customWidth="1"/>
    <col min="4427" max="4608" width="12.140625" style="1" customWidth="1"/>
    <col min="4609" max="4609" width="4.00390625" style="1" customWidth="1"/>
    <col min="4610" max="4610" width="14.28125" style="1" customWidth="1"/>
    <col min="4611" max="4611" width="62.421875" style="1" customWidth="1"/>
    <col min="4612" max="4612" width="15.8515625" style="1" customWidth="1"/>
    <col min="4613" max="4613" width="10.8515625" style="1" customWidth="1"/>
    <col min="4614" max="4614" width="75.57421875" style="1" customWidth="1"/>
    <col min="4615" max="4615" width="5.8515625" style="1" customWidth="1"/>
    <col min="4616" max="4616" width="11.28125" style="1" customWidth="1"/>
    <col min="4617" max="4617" width="12.00390625" style="1" customWidth="1"/>
    <col min="4618" max="4618" width="10.28125" style="1" customWidth="1"/>
    <col min="4619" max="4619" width="12.00390625" style="1" customWidth="1"/>
    <col min="4620" max="4620" width="12.28125" style="1" customWidth="1"/>
    <col min="4621" max="4621" width="11.7109375" style="1" customWidth="1"/>
    <col min="4622" max="4632" width="12.140625" style="1" customWidth="1"/>
    <col min="4633" max="4682" width="12.140625" style="1" hidden="1" customWidth="1"/>
    <col min="4683" max="4864" width="12.140625" style="1" customWidth="1"/>
    <col min="4865" max="4865" width="4.00390625" style="1" customWidth="1"/>
    <col min="4866" max="4866" width="14.28125" style="1" customWidth="1"/>
    <col min="4867" max="4867" width="62.421875" style="1" customWidth="1"/>
    <col min="4868" max="4868" width="15.8515625" style="1" customWidth="1"/>
    <col min="4869" max="4869" width="10.8515625" style="1" customWidth="1"/>
    <col min="4870" max="4870" width="75.57421875" style="1" customWidth="1"/>
    <col min="4871" max="4871" width="5.8515625" style="1" customWidth="1"/>
    <col min="4872" max="4872" width="11.28125" style="1" customWidth="1"/>
    <col min="4873" max="4873" width="12.00390625" style="1" customWidth="1"/>
    <col min="4874" max="4874" width="10.28125" style="1" customWidth="1"/>
    <col min="4875" max="4875" width="12.00390625" style="1" customWidth="1"/>
    <col min="4876" max="4876" width="12.28125" style="1" customWidth="1"/>
    <col min="4877" max="4877" width="11.7109375" style="1" customWidth="1"/>
    <col min="4878" max="4888" width="12.140625" style="1" customWidth="1"/>
    <col min="4889" max="4938" width="12.140625" style="1" hidden="1" customWidth="1"/>
    <col min="4939" max="5120" width="12.140625" style="1" customWidth="1"/>
    <col min="5121" max="5121" width="4.00390625" style="1" customWidth="1"/>
    <col min="5122" max="5122" width="14.28125" style="1" customWidth="1"/>
    <col min="5123" max="5123" width="62.421875" style="1" customWidth="1"/>
    <col min="5124" max="5124" width="15.8515625" style="1" customWidth="1"/>
    <col min="5125" max="5125" width="10.8515625" style="1" customWidth="1"/>
    <col min="5126" max="5126" width="75.57421875" style="1" customWidth="1"/>
    <col min="5127" max="5127" width="5.8515625" style="1" customWidth="1"/>
    <col min="5128" max="5128" width="11.28125" style="1" customWidth="1"/>
    <col min="5129" max="5129" width="12.00390625" style="1" customWidth="1"/>
    <col min="5130" max="5130" width="10.28125" style="1" customWidth="1"/>
    <col min="5131" max="5131" width="12.00390625" style="1" customWidth="1"/>
    <col min="5132" max="5132" width="12.28125" style="1" customWidth="1"/>
    <col min="5133" max="5133" width="11.7109375" style="1" customWidth="1"/>
    <col min="5134" max="5144" width="12.140625" style="1" customWidth="1"/>
    <col min="5145" max="5194" width="12.140625" style="1" hidden="1" customWidth="1"/>
    <col min="5195" max="5376" width="12.140625" style="1" customWidth="1"/>
    <col min="5377" max="5377" width="4.00390625" style="1" customWidth="1"/>
    <col min="5378" max="5378" width="14.28125" style="1" customWidth="1"/>
    <col min="5379" max="5379" width="62.421875" style="1" customWidth="1"/>
    <col min="5380" max="5380" width="15.8515625" style="1" customWidth="1"/>
    <col min="5381" max="5381" width="10.8515625" style="1" customWidth="1"/>
    <col min="5382" max="5382" width="75.57421875" style="1" customWidth="1"/>
    <col min="5383" max="5383" width="5.8515625" style="1" customWidth="1"/>
    <col min="5384" max="5384" width="11.28125" style="1" customWidth="1"/>
    <col min="5385" max="5385" width="12.00390625" style="1" customWidth="1"/>
    <col min="5386" max="5386" width="10.28125" style="1" customWidth="1"/>
    <col min="5387" max="5387" width="12.00390625" style="1" customWidth="1"/>
    <col min="5388" max="5388" width="12.28125" style="1" customWidth="1"/>
    <col min="5389" max="5389" width="11.7109375" style="1" customWidth="1"/>
    <col min="5390" max="5400" width="12.140625" style="1" customWidth="1"/>
    <col min="5401" max="5450" width="12.140625" style="1" hidden="1" customWidth="1"/>
    <col min="5451" max="5632" width="12.140625" style="1" customWidth="1"/>
    <col min="5633" max="5633" width="4.00390625" style="1" customWidth="1"/>
    <col min="5634" max="5634" width="14.28125" style="1" customWidth="1"/>
    <col min="5635" max="5635" width="62.421875" style="1" customWidth="1"/>
    <col min="5636" max="5636" width="15.8515625" style="1" customWidth="1"/>
    <col min="5637" max="5637" width="10.8515625" style="1" customWidth="1"/>
    <col min="5638" max="5638" width="75.57421875" style="1" customWidth="1"/>
    <col min="5639" max="5639" width="5.8515625" style="1" customWidth="1"/>
    <col min="5640" max="5640" width="11.28125" style="1" customWidth="1"/>
    <col min="5641" max="5641" width="12.00390625" style="1" customWidth="1"/>
    <col min="5642" max="5642" width="10.28125" style="1" customWidth="1"/>
    <col min="5643" max="5643" width="12.00390625" style="1" customWidth="1"/>
    <col min="5644" max="5644" width="12.28125" style="1" customWidth="1"/>
    <col min="5645" max="5645" width="11.7109375" style="1" customWidth="1"/>
    <col min="5646" max="5656" width="12.140625" style="1" customWidth="1"/>
    <col min="5657" max="5706" width="12.140625" style="1" hidden="1" customWidth="1"/>
    <col min="5707" max="5888" width="12.140625" style="1" customWidth="1"/>
    <col min="5889" max="5889" width="4.00390625" style="1" customWidth="1"/>
    <col min="5890" max="5890" width="14.28125" style="1" customWidth="1"/>
    <col min="5891" max="5891" width="62.421875" style="1" customWidth="1"/>
    <col min="5892" max="5892" width="15.8515625" style="1" customWidth="1"/>
    <col min="5893" max="5893" width="10.8515625" style="1" customWidth="1"/>
    <col min="5894" max="5894" width="75.57421875" style="1" customWidth="1"/>
    <col min="5895" max="5895" width="5.8515625" style="1" customWidth="1"/>
    <col min="5896" max="5896" width="11.28125" style="1" customWidth="1"/>
    <col min="5897" max="5897" width="12.00390625" style="1" customWidth="1"/>
    <col min="5898" max="5898" width="10.28125" style="1" customWidth="1"/>
    <col min="5899" max="5899" width="12.00390625" style="1" customWidth="1"/>
    <col min="5900" max="5900" width="12.28125" style="1" customWidth="1"/>
    <col min="5901" max="5901" width="11.7109375" style="1" customWidth="1"/>
    <col min="5902" max="5912" width="12.140625" style="1" customWidth="1"/>
    <col min="5913" max="5962" width="12.140625" style="1" hidden="1" customWidth="1"/>
    <col min="5963" max="6144" width="12.140625" style="1" customWidth="1"/>
    <col min="6145" max="6145" width="4.00390625" style="1" customWidth="1"/>
    <col min="6146" max="6146" width="14.28125" style="1" customWidth="1"/>
    <col min="6147" max="6147" width="62.421875" style="1" customWidth="1"/>
    <col min="6148" max="6148" width="15.8515625" style="1" customWidth="1"/>
    <col min="6149" max="6149" width="10.8515625" style="1" customWidth="1"/>
    <col min="6150" max="6150" width="75.57421875" style="1" customWidth="1"/>
    <col min="6151" max="6151" width="5.8515625" style="1" customWidth="1"/>
    <col min="6152" max="6152" width="11.28125" style="1" customWidth="1"/>
    <col min="6153" max="6153" width="12.00390625" style="1" customWidth="1"/>
    <col min="6154" max="6154" width="10.28125" style="1" customWidth="1"/>
    <col min="6155" max="6155" width="12.00390625" style="1" customWidth="1"/>
    <col min="6156" max="6156" width="12.28125" style="1" customWidth="1"/>
    <col min="6157" max="6157" width="11.7109375" style="1" customWidth="1"/>
    <col min="6158" max="6168" width="12.140625" style="1" customWidth="1"/>
    <col min="6169" max="6218" width="12.140625" style="1" hidden="1" customWidth="1"/>
    <col min="6219" max="6400" width="12.140625" style="1" customWidth="1"/>
    <col min="6401" max="6401" width="4.00390625" style="1" customWidth="1"/>
    <col min="6402" max="6402" width="14.28125" style="1" customWidth="1"/>
    <col min="6403" max="6403" width="62.421875" style="1" customWidth="1"/>
    <col min="6404" max="6404" width="15.8515625" style="1" customWidth="1"/>
    <col min="6405" max="6405" width="10.8515625" style="1" customWidth="1"/>
    <col min="6406" max="6406" width="75.57421875" style="1" customWidth="1"/>
    <col min="6407" max="6407" width="5.8515625" style="1" customWidth="1"/>
    <col min="6408" max="6408" width="11.28125" style="1" customWidth="1"/>
    <col min="6409" max="6409" width="12.00390625" style="1" customWidth="1"/>
    <col min="6410" max="6410" width="10.28125" style="1" customWidth="1"/>
    <col min="6411" max="6411" width="12.00390625" style="1" customWidth="1"/>
    <col min="6412" max="6412" width="12.28125" style="1" customWidth="1"/>
    <col min="6413" max="6413" width="11.7109375" style="1" customWidth="1"/>
    <col min="6414" max="6424" width="12.140625" style="1" customWidth="1"/>
    <col min="6425" max="6474" width="12.140625" style="1" hidden="1" customWidth="1"/>
    <col min="6475" max="6656" width="12.140625" style="1" customWidth="1"/>
    <col min="6657" max="6657" width="4.00390625" style="1" customWidth="1"/>
    <col min="6658" max="6658" width="14.28125" style="1" customWidth="1"/>
    <col min="6659" max="6659" width="62.421875" style="1" customWidth="1"/>
    <col min="6660" max="6660" width="15.8515625" style="1" customWidth="1"/>
    <col min="6661" max="6661" width="10.8515625" style="1" customWidth="1"/>
    <col min="6662" max="6662" width="75.57421875" style="1" customWidth="1"/>
    <col min="6663" max="6663" width="5.8515625" style="1" customWidth="1"/>
    <col min="6664" max="6664" width="11.28125" style="1" customWidth="1"/>
    <col min="6665" max="6665" width="12.00390625" style="1" customWidth="1"/>
    <col min="6666" max="6666" width="10.28125" style="1" customWidth="1"/>
    <col min="6667" max="6667" width="12.00390625" style="1" customWidth="1"/>
    <col min="6668" max="6668" width="12.28125" style="1" customWidth="1"/>
    <col min="6669" max="6669" width="11.7109375" style="1" customWidth="1"/>
    <col min="6670" max="6680" width="12.140625" style="1" customWidth="1"/>
    <col min="6681" max="6730" width="12.140625" style="1" hidden="1" customWidth="1"/>
    <col min="6731" max="6912" width="12.140625" style="1" customWidth="1"/>
    <col min="6913" max="6913" width="4.00390625" style="1" customWidth="1"/>
    <col min="6914" max="6914" width="14.28125" style="1" customWidth="1"/>
    <col min="6915" max="6915" width="62.421875" style="1" customWidth="1"/>
    <col min="6916" max="6916" width="15.8515625" style="1" customWidth="1"/>
    <col min="6917" max="6917" width="10.8515625" style="1" customWidth="1"/>
    <col min="6918" max="6918" width="75.57421875" style="1" customWidth="1"/>
    <col min="6919" max="6919" width="5.8515625" style="1" customWidth="1"/>
    <col min="6920" max="6920" width="11.28125" style="1" customWidth="1"/>
    <col min="6921" max="6921" width="12.00390625" style="1" customWidth="1"/>
    <col min="6922" max="6922" width="10.28125" style="1" customWidth="1"/>
    <col min="6923" max="6923" width="12.00390625" style="1" customWidth="1"/>
    <col min="6924" max="6924" width="12.28125" style="1" customWidth="1"/>
    <col min="6925" max="6925" width="11.7109375" style="1" customWidth="1"/>
    <col min="6926" max="6936" width="12.140625" style="1" customWidth="1"/>
    <col min="6937" max="6986" width="12.140625" style="1" hidden="1" customWidth="1"/>
    <col min="6987" max="7168" width="12.140625" style="1" customWidth="1"/>
    <col min="7169" max="7169" width="4.00390625" style="1" customWidth="1"/>
    <col min="7170" max="7170" width="14.28125" style="1" customWidth="1"/>
    <col min="7171" max="7171" width="62.421875" style="1" customWidth="1"/>
    <col min="7172" max="7172" width="15.8515625" style="1" customWidth="1"/>
    <col min="7173" max="7173" width="10.8515625" style="1" customWidth="1"/>
    <col min="7174" max="7174" width="75.57421875" style="1" customWidth="1"/>
    <col min="7175" max="7175" width="5.8515625" style="1" customWidth="1"/>
    <col min="7176" max="7176" width="11.28125" style="1" customWidth="1"/>
    <col min="7177" max="7177" width="12.00390625" style="1" customWidth="1"/>
    <col min="7178" max="7178" width="10.28125" style="1" customWidth="1"/>
    <col min="7179" max="7179" width="12.00390625" style="1" customWidth="1"/>
    <col min="7180" max="7180" width="12.28125" style="1" customWidth="1"/>
    <col min="7181" max="7181" width="11.7109375" style="1" customWidth="1"/>
    <col min="7182" max="7192" width="12.140625" style="1" customWidth="1"/>
    <col min="7193" max="7242" width="12.140625" style="1" hidden="1" customWidth="1"/>
    <col min="7243" max="7424" width="12.140625" style="1" customWidth="1"/>
    <col min="7425" max="7425" width="4.00390625" style="1" customWidth="1"/>
    <col min="7426" max="7426" width="14.28125" style="1" customWidth="1"/>
    <col min="7427" max="7427" width="62.421875" style="1" customWidth="1"/>
    <col min="7428" max="7428" width="15.8515625" style="1" customWidth="1"/>
    <col min="7429" max="7429" width="10.8515625" style="1" customWidth="1"/>
    <col min="7430" max="7430" width="75.57421875" style="1" customWidth="1"/>
    <col min="7431" max="7431" width="5.8515625" style="1" customWidth="1"/>
    <col min="7432" max="7432" width="11.28125" style="1" customWidth="1"/>
    <col min="7433" max="7433" width="12.00390625" style="1" customWidth="1"/>
    <col min="7434" max="7434" width="10.28125" style="1" customWidth="1"/>
    <col min="7435" max="7435" width="12.00390625" style="1" customWidth="1"/>
    <col min="7436" max="7436" width="12.28125" style="1" customWidth="1"/>
    <col min="7437" max="7437" width="11.7109375" style="1" customWidth="1"/>
    <col min="7438" max="7448" width="12.140625" style="1" customWidth="1"/>
    <col min="7449" max="7498" width="12.140625" style="1" hidden="1" customWidth="1"/>
    <col min="7499" max="7680" width="12.140625" style="1" customWidth="1"/>
    <col min="7681" max="7681" width="4.00390625" style="1" customWidth="1"/>
    <col min="7682" max="7682" width="14.28125" style="1" customWidth="1"/>
    <col min="7683" max="7683" width="62.421875" style="1" customWidth="1"/>
    <col min="7684" max="7684" width="15.8515625" style="1" customWidth="1"/>
    <col min="7685" max="7685" width="10.8515625" style="1" customWidth="1"/>
    <col min="7686" max="7686" width="75.57421875" style="1" customWidth="1"/>
    <col min="7687" max="7687" width="5.8515625" style="1" customWidth="1"/>
    <col min="7688" max="7688" width="11.28125" style="1" customWidth="1"/>
    <col min="7689" max="7689" width="12.00390625" style="1" customWidth="1"/>
    <col min="7690" max="7690" width="10.28125" style="1" customWidth="1"/>
    <col min="7691" max="7691" width="12.00390625" style="1" customWidth="1"/>
    <col min="7692" max="7692" width="12.28125" style="1" customWidth="1"/>
    <col min="7693" max="7693" width="11.7109375" style="1" customWidth="1"/>
    <col min="7694" max="7704" width="12.140625" style="1" customWidth="1"/>
    <col min="7705" max="7754" width="12.140625" style="1" hidden="1" customWidth="1"/>
    <col min="7755" max="7936" width="12.140625" style="1" customWidth="1"/>
    <col min="7937" max="7937" width="4.00390625" style="1" customWidth="1"/>
    <col min="7938" max="7938" width="14.28125" style="1" customWidth="1"/>
    <col min="7939" max="7939" width="62.421875" style="1" customWidth="1"/>
    <col min="7940" max="7940" width="15.8515625" style="1" customWidth="1"/>
    <col min="7941" max="7941" width="10.8515625" style="1" customWidth="1"/>
    <col min="7942" max="7942" width="75.57421875" style="1" customWidth="1"/>
    <col min="7943" max="7943" width="5.8515625" style="1" customWidth="1"/>
    <col min="7944" max="7944" width="11.28125" style="1" customWidth="1"/>
    <col min="7945" max="7945" width="12.00390625" style="1" customWidth="1"/>
    <col min="7946" max="7946" width="10.28125" style="1" customWidth="1"/>
    <col min="7947" max="7947" width="12.00390625" style="1" customWidth="1"/>
    <col min="7948" max="7948" width="12.28125" style="1" customWidth="1"/>
    <col min="7949" max="7949" width="11.7109375" style="1" customWidth="1"/>
    <col min="7950" max="7960" width="12.140625" style="1" customWidth="1"/>
    <col min="7961" max="8010" width="12.140625" style="1" hidden="1" customWidth="1"/>
    <col min="8011" max="8192" width="12.140625" style="1" customWidth="1"/>
    <col min="8193" max="8193" width="4.00390625" style="1" customWidth="1"/>
    <col min="8194" max="8194" width="14.28125" style="1" customWidth="1"/>
    <col min="8195" max="8195" width="62.421875" style="1" customWidth="1"/>
    <col min="8196" max="8196" width="15.8515625" style="1" customWidth="1"/>
    <col min="8197" max="8197" width="10.8515625" style="1" customWidth="1"/>
    <col min="8198" max="8198" width="75.57421875" style="1" customWidth="1"/>
    <col min="8199" max="8199" width="5.8515625" style="1" customWidth="1"/>
    <col min="8200" max="8200" width="11.28125" style="1" customWidth="1"/>
    <col min="8201" max="8201" width="12.00390625" style="1" customWidth="1"/>
    <col min="8202" max="8202" width="10.28125" style="1" customWidth="1"/>
    <col min="8203" max="8203" width="12.00390625" style="1" customWidth="1"/>
    <col min="8204" max="8204" width="12.28125" style="1" customWidth="1"/>
    <col min="8205" max="8205" width="11.7109375" style="1" customWidth="1"/>
    <col min="8206" max="8216" width="12.140625" style="1" customWidth="1"/>
    <col min="8217" max="8266" width="12.140625" style="1" hidden="1" customWidth="1"/>
    <col min="8267" max="8448" width="12.140625" style="1" customWidth="1"/>
    <col min="8449" max="8449" width="4.00390625" style="1" customWidth="1"/>
    <col min="8450" max="8450" width="14.28125" style="1" customWidth="1"/>
    <col min="8451" max="8451" width="62.421875" style="1" customWidth="1"/>
    <col min="8452" max="8452" width="15.8515625" style="1" customWidth="1"/>
    <col min="8453" max="8453" width="10.8515625" style="1" customWidth="1"/>
    <col min="8454" max="8454" width="75.57421875" style="1" customWidth="1"/>
    <col min="8455" max="8455" width="5.8515625" style="1" customWidth="1"/>
    <col min="8456" max="8456" width="11.28125" style="1" customWidth="1"/>
    <col min="8457" max="8457" width="12.00390625" style="1" customWidth="1"/>
    <col min="8458" max="8458" width="10.28125" style="1" customWidth="1"/>
    <col min="8459" max="8459" width="12.00390625" style="1" customWidth="1"/>
    <col min="8460" max="8460" width="12.28125" style="1" customWidth="1"/>
    <col min="8461" max="8461" width="11.7109375" style="1" customWidth="1"/>
    <col min="8462" max="8472" width="12.140625" style="1" customWidth="1"/>
    <col min="8473" max="8522" width="12.140625" style="1" hidden="1" customWidth="1"/>
    <col min="8523" max="8704" width="12.140625" style="1" customWidth="1"/>
    <col min="8705" max="8705" width="4.00390625" style="1" customWidth="1"/>
    <col min="8706" max="8706" width="14.28125" style="1" customWidth="1"/>
    <col min="8707" max="8707" width="62.421875" style="1" customWidth="1"/>
    <col min="8708" max="8708" width="15.8515625" style="1" customWidth="1"/>
    <col min="8709" max="8709" width="10.8515625" style="1" customWidth="1"/>
    <col min="8710" max="8710" width="75.57421875" style="1" customWidth="1"/>
    <col min="8711" max="8711" width="5.8515625" style="1" customWidth="1"/>
    <col min="8712" max="8712" width="11.28125" style="1" customWidth="1"/>
    <col min="8713" max="8713" width="12.00390625" style="1" customWidth="1"/>
    <col min="8714" max="8714" width="10.28125" style="1" customWidth="1"/>
    <col min="8715" max="8715" width="12.00390625" style="1" customWidth="1"/>
    <col min="8716" max="8716" width="12.28125" style="1" customWidth="1"/>
    <col min="8717" max="8717" width="11.7109375" style="1" customWidth="1"/>
    <col min="8718" max="8728" width="12.140625" style="1" customWidth="1"/>
    <col min="8729" max="8778" width="12.140625" style="1" hidden="1" customWidth="1"/>
    <col min="8779" max="8960" width="12.140625" style="1" customWidth="1"/>
    <col min="8961" max="8961" width="4.00390625" style="1" customWidth="1"/>
    <col min="8962" max="8962" width="14.28125" style="1" customWidth="1"/>
    <col min="8963" max="8963" width="62.421875" style="1" customWidth="1"/>
    <col min="8964" max="8964" width="15.8515625" style="1" customWidth="1"/>
    <col min="8965" max="8965" width="10.8515625" style="1" customWidth="1"/>
    <col min="8966" max="8966" width="75.57421875" style="1" customWidth="1"/>
    <col min="8967" max="8967" width="5.8515625" style="1" customWidth="1"/>
    <col min="8968" max="8968" width="11.28125" style="1" customWidth="1"/>
    <col min="8969" max="8969" width="12.00390625" style="1" customWidth="1"/>
    <col min="8970" max="8970" width="10.28125" style="1" customWidth="1"/>
    <col min="8971" max="8971" width="12.00390625" style="1" customWidth="1"/>
    <col min="8972" max="8972" width="12.28125" style="1" customWidth="1"/>
    <col min="8973" max="8973" width="11.7109375" style="1" customWidth="1"/>
    <col min="8974" max="8984" width="12.140625" style="1" customWidth="1"/>
    <col min="8985" max="9034" width="12.140625" style="1" hidden="1" customWidth="1"/>
    <col min="9035" max="9216" width="12.140625" style="1" customWidth="1"/>
    <col min="9217" max="9217" width="4.00390625" style="1" customWidth="1"/>
    <col min="9218" max="9218" width="14.28125" style="1" customWidth="1"/>
    <col min="9219" max="9219" width="62.421875" style="1" customWidth="1"/>
    <col min="9220" max="9220" width="15.8515625" style="1" customWidth="1"/>
    <col min="9221" max="9221" width="10.8515625" style="1" customWidth="1"/>
    <col min="9222" max="9222" width="75.57421875" style="1" customWidth="1"/>
    <col min="9223" max="9223" width="5.8515625" style="1" customWidth="1"/>
    <col min="9224" max="9224" width="11.28125" style="1" customWidth="1"/>
    <col min="9225" max="9225" width="12.00390625" style="1" customWidth="1"/>
    <col min="9226" max="9226" width="10.28125" style="1" customWidth="1"/>
    <col min="9227" max="9227" width="12.00390625" style="1" customWidth="1"/>
    <col min="9228" max="9228" width="12.28125" style="1" customWidth="1"/>
    <col min="9229" max="9229" width="11.7109375" style="1" customWidth="1"/>
    <col min="9230" max="9240" width="12.140625" style="1" customWidth="1"/>
    <col min="9241" max="9290" width="12.140625" style="1" hidden="1" customWidth="1"/>
    <col min="9291" max="9472" width="12.140625" style="1" customWidth="1"/>
    <col min="9473" max="9473" width="4.00390625" style="1" customWidth="1"/>
    <col min="9474" max="9474" width="14.28125" style="1" customWidth="1"/>
    <col min="9475" max="9475" width="62.421875" style="1" customWidth="1"/>
    <col min="9476" max="9476" width="15.8515625" style="1" customWidth="1"/>
    <col min="9477" max="9477" width="10.8515625" style="1" customWidth="1"/>
    <col min="9478" max="9478" width="75.57421875" style="1" customWidth="1"/>
    <col min="9479" max="9479" width="5.8515625" style="1" customWidth="1"/>
    <col min="9480" max="9480" width="11.28125" style="1" customWidth="1"/>
    <col min="9481" max="9481" width="12.00390625" style="1" customWidth="1"/>
    <col min="9482" max="9482" width="10.28125" style="1" customWidth="1"/>
    <col min="9483" max="9483" width="12.00390625" style="1" customWidth="1"/>
    <col min="9484" max="9484" width="12.28125" style="1" customWidth="1"/>
    <col min="9485" max="9485" width="11.7109375" style="1" customWidth="1"/>
    <col min="9486" max="9496" width="12.140625" style="1" customWidth="1"/>
    <col min="9497" max="9546" width="12.140625" style="1" hidden="1" customWidth="1"/>
    <col min="9547" max="9728" width="12.140625" style="1" customWidth="1"/>
    <col min="9729" max="9729" width="4.00390625" style="1" customWidth="1"/>
    <col min="9730" max="9730" width="14.28125" style="1" customWidth="1"/>
    <col min="9731" max="9731" width="62.421875" style="1" customWidth="1"/>
    <col min="9732" max="9732" width="15.8515625" style="1" customWidth="1"/>
    <col min="9733" max="9733" width="10.8515625" style="1" customWidth="1"/>
    <col min="9734" max="9734" width="75.57421875" style="1" customWidth="1"/>
    <col min="9735" max="9735" width="5.8515625" style="1" customWidth="1"/>
    <col min="9736" max="9736" width="11.28125" style="1" customWidth="1"/>
    <col min="9737" max="9737" width="12.00390625" style="1" customWidth="1"/>
    <col min="9738" max="9738" width="10.28125" style="1" customWidth="1"/>
    <col min="9739" max="9739" width="12.00390625" style="1" customWidth="1"/>
    <col min="9740" max="9740" width="12.28125" style="1" customWidth="1"/>
    <col min="9741" max="9741" width="11.7109375" style="1" customWidth="1"/>
    <col min="9742" max="9752" width="12.140625" style="1" customWidth="1"/>
    <col min="9753" max="9802" width="12.140625" style="1" hidden="1" customWidth="1"/>
    <col min="9803" max="9984" width="12.140625" style="1" customWidth="1"/>
    <col min="9985" max="9985" width="4.00390625" style="1" customWidth="1"/>
    <col min="9986" max="9986" width="14.28125" style="1" customWidth="1"/>
    <col min="9987" max="9987" width="62.421875" style="1" customWidth="1"/>
    <col min="9988" max="9988" width="15.8515625" style="1" customWidth="1"/>
    <col min="9989" max="9989" width="10.8515625" style="1" customWidth="1"/>
    <col min="9990" max="9990" width="75.57421875" style="1" customWidth="1"/>
    <col min="9991" max="9991" width="5.8515625" style="1" customWidth="1"/>
    <col min="9992" max="9992" width="11.28125" style="1" customWidth="1"/>
    <col min="9993" max="9993" width="12.00390625" style="1" customWidth="1"/>
    <col min="9994" max="9994" width="10.28125" style="1" customWidth="1"/>
    <col min="9995" max="9995" width="12.00390625" style="1" customWidth="1"/>
    <col min="9996" max="9996" width="12.28125" style="1" customWidth="1"/>
    <col min="9997" max="9997" width="11.7109375" style="1" customWidth="1"/>
    <col min="9998" max="10008" width="12.140625" style="1" customWidth="1"/>
    <col min="10009" max="10058" width="12.140625" style="1" hidden="1" customWidth="1"/>
    <col min="10059" max="10240" width="12.140625" style="1" customWidth="1"/>
    <col min="10241" max="10241" width="4.00390625" style="1" customWidth="1"/>
    <col min="10242" max="10242" width="14.28125" style="1" customWidth="1"/>
    <col min="10243" max="10243" width="62.421875" style="1" customWidth="1"/>
    <col min="10244" max="10244" width="15.8515625" style="1" customWidth="1"/>
    <col min="10245" max="10245" width="10.8515625" style="1" customWidth="1"/>
    <col min="10246" max="10246" width="75.57421875" style="1" customWidth="1"/>
    <col min="10247" max="10247" width="5.8515625" style="1" customWidth="1"/>
    <col min="10248" max="10248" width="11.28125" style="1" customWidth="1"/>
    <col min="10249" max="10249" width="12.00390625" style="1" customWidth="1"/>
    <col min="10250" max="10250" width="10.28125" style="1" customWidth="1"/>
    <col min="10251" max="10251" width="12.00390625" style="1" customWidth="1"/>
    <col min="10252" max="10252" width="12.28125" style="1" customWidth="1"/>
    <col min="10253" max="10253" width="11.7109375" style="1" customWidth="1"/>
    <col min="10254" max="10264" width="12.140625" style="1" customWidth="1"/>
    <col min="10265" max="10314" width="12.140625" style="1" hidden="1" customWidth="1"/>
    <col min="10315" max="10496" width="12.140625" style="1" customWidth="1"/>
    <col min="10497" max="10497" width="4.00390625" style="1" customWidth="1"/>
    <col min="10498" max="10498" width="14.28125" style="1" customWidth="1"/>
    <col min="10499" max="10499" width="62.421875" style="1" customWidth="1"/>
    <col min="10500" max="10500" width="15.8515625" style="1" customWidth="1"/>
    <col min="10501" max="10501" width="10.8515625" style="1" customWidth="1"/>
    <col min="10502" max="10502" width="75.57421875" style="1" customWidth="1"/>
    <col min="10503" max="10503" width="5.8515625" style="1" customWidth="1"/>
    <col min="10504" max="10504" width="11.28125" style="1" customWidth="1"/>
    <col min="10505" max="10505" width="12.00390625" style="1" customWidth="1"/>
    <col min="10506" max="10506" width="10.28125" style="1" customWidth="1"/>
    <col min="10507" max="10507" width="12.00390625" style="1" customWidth="1"/>
    <col min="10508" max="10508" width="12.28125" style="1" customWidth="1"/>
    <col min="10509" max="10509" width="11.7109375" style="1" customWidth="1"/>
    <col min="10510" max="10520" width="12.140625" style="1" customWidth="1"/>
    <col min="10521" max="10570" width="12.140625" style="1" hidden="1" customWidth="1"/>
    <col min="10571" max="10752" width="12.140625" style="1" customWidth="1"/>
    <col min="10753" max="10753" width="4.00390625" style="1" customWidth="1"/>
    <col min="10754" max="10754" width="14.28125" style="1" customWidth="1"/>
    <col min="10755" max="10755" width="62.421875" style="1" customWidth="1"/>
    <col min="10756" max="10756" width="15.8515625" style="1" customWidth="1"/>
    <col min="10757" max="10757" width="10.8515625" style="1" customWidth="1"/>
    <col min="10758" max="10758" width="75.57421875" style="1" customWidth="1"/>
    <col min="10759" max="10759" width="5.8515625" style="1" customWidth="1"/>
    <col min="10760" max="10760" width="11.28125" style="1" customWidth="1"/>
    <col min="10761" max="10761" width="12.00390625" style="1" customWidth="1"/>
    <col min="10762" max="10762" width="10.28125" style="1" customWidth="1"/>
    <col min="10763" max="10763" width="12.00390625" style="1" customWidth="1"/>
    <col min="10764" max="10764" width="12.28125" style="1" customWidth="1"/>
    <col min="10765" max="10765" width="11.7109375" style="1" customWidth="1"/>
    <col min="10766" max="10776" width="12.140625" style="1" customWidth="1"/>
    <col min="10777" max="10826" width="12.140625" style="1" hidden="1" customWidth="1"/>
    <col min="10827" max="11008" width="12.140625" style="1" customWidth="1"/>
    <col min="11009" max="11009" width="4.00390625" style="1" customWidth="1"/>
    <col min="11010" max="11010" width="14.28125" style="1" customWidth="1"/>
    <col min="11011" max="11011" width="62.421875" style="1" customWidth="1"/>
    <col min="11012" max="11012" width="15.8515625" style="1" customWidth="1"/>
    <col min="11013" max="11013" width="10.8515625" style="1" customWidth="1"/>
    <col min="11014" max="11014" width="75.57421875" style="1" customWidth="1"/>
    <col min="11015" max="11015" width="5.8515625" style="1" customWidth="1"/>
    <col min="11016" max="11016" width="11.28125" style="1" customWidth="1"/>
    <col min="11017" max="11017" width="12.00390625" style="1" customWidth="1"/>
    <col min="11018" max="11018" width="10.28125" style="1" customWidth="1"/>
    <col min="11019" max="11019" width="12.00390625" style="1" customWidth="1"/>
    <col min="11020" max="11020" width="12.28125" style="1" customWidth="1"/>
    <col min="11021" max="11021" width="11.7109375" style="1" customWidth="1"/>
    <col min="11022" max="11032" width="12.140625" style="1" customWidth="1"/>
    <col min="11033" max="11082" width="12.140625" style="1" hidden="1" customWidth="1"/>
    <col min="11083" max="11264" width="12.140625" style="1" customWidth="1"/>
    <col min="11265" max="11265" width="4.00390625" style="1" customWidth="1"/>
    <col min="11266" max="11266" width="14.28125" style="1" customWidth="1"/>
    <col min="11267" max="11267" width="62.421875" style="1" customWidth="1"/>
    <col min="11268" max="11268" width="15.8515625" style="1" customWidth="1"/>
    <col min="11269" max="11269" width="10.8515625" style="1" customWidth="1"/>
    <col min="11270" max="11270" width="75.57421875" style="1" customWidth="1"/>
    <col min="11271" max="11271" width="5.8515625" style="1" customWidth="1"/>
    <col min="11272" max="11272" width="11.28125" style="1" customWidth="1"/>
    <col min="11273" max="11273" width="12.00390625" style="1" customWidth="1"/>
    <col min="11274" max="11274" width="10.28125" style="1" customWidth="1"/>
    <col min="11275" max="11275" width="12.00390625" style="1" customWidth="1"/>
    <col min="11276" max="11276" width="12.28125" style="1" customWidth="1"/>
    <col min="11277" max="11277" width="11.7109375" style="1" customWidth="1"/>
    <col min="11278" max="11288" width="12.140625" style="1" customWidth="1"/>
    <col min="11289" max="11338" width="12.140625" style="1" hidden="1" customWidth="1"/>
    <col min="11339" max="11520" width="12.140625" style="1" customWidth="1"/>
    <col min="11521" max="11521" width="4.00390625" style="1" customWidth="1"/>
    <col min="11522" max="11522" width="14.28125" style="1" customWidth="1"/>
    <col min="11523" max="11523" width="62.421875" style="1" customWidth="1"/>
    <col min="11524" max="11524" width="15.8515625" style="1" customWidth="1"/>
    <col min="11525" max="11525" width="10.8515625" style="1" customWidth="1"/>
    <col min="11526" max="11526" width="75.57421875" style="1" customWidth="1"/>
    <col min="11527" max="11527" width="5.8515625" style="1" customWidth="1"/>
    <col min="11528" max="11528" width="11.28125" style="1" customWidth="1"/>
    <col min="11529" max="11529" width="12.00390625" style="1" customWidth="1"/>
    <col min="11530" max="11530" width="10.28125" style="1" customWidth="1"/>
    <col min="11531" max="11531" width="12.00390625" style="1" customWidth="1"/>
    <col min="11532" max="11532" width="12.28125" style="1" customWidth="1"/>
    <col min="11533" max="11533" width="11.7109375" style="1" customWidth="1"/>
    <col min="11534" max="11544" width="12.140625" style="1" customWidth="1"/>
    <col min="11545" max="11594" width="12.140625" style="1" hidden="1" customWidth="1"/>
    <col min="11595" max="11776" width="12.140625" style="1" customWidth="1"/>
    <col min="11777" max="11777" width="4.00390625" style="1" customWidth="1"/>
    <col min="11778" max="11778" width="14.28125" style="1" customWidth="1"/>
    <col min="11779" max="11779" width="62.421875" style="1" customWidth="1"/>
    <col min="11780" max="11780" width="15.8515625" style="1" customWidth="1"/>
    <col min="11781" max="11781" width="10.8515625" style="1" customWidth="1"/>
    <col min="11782" max="11782" width="75.57421875" style="1" customWidth="1"/>
    <col min="11783" max="11783" width="5.8515625" style="1" customWidth="1"/>
    <col min="11784" max="11784" width="11.28125" style="1" customWidth="1"/>
    <col min="11785" max="11785" width="12.00390625" style="1" customWidth="1"/>
    <col min="11786" max="11786" width="10.28125" style="1" customWidth="1"/>
    <col min="11787" max="11787" width="12.00390625" style="1" customWidth="1"/>
    <col min="11788" max="11788" width="12.28125" style="1" customWidth="1"/>
    <col min="11789" max="11789" width="11.7109375" style="1" customWidth="1"/>
    <col min="11790" max="11800" width="12.140625" style="1" customWidth="1"/>
    <col min="11801" max="11850" width="12.140625" style="1" hidden="1" customWidth="1"/>
    <col min="11851" max="12032" width="12.140625" style="1" customWidth="1"/>
    <col min="12033" max="12033" width="4.00390625" style="1" customWidth="1"/>
    <col min="12034" max="12034" width="14.28125" style="1" customWidth="1"/>
    <col min="12035" max="12035" width="62.421875" style="1" customWidth="1"/>
    <col min="12036" max="12036" width="15.8515625" style="1" customWidth="1"/>
    <col min="12037" max="12037" width="10.8515625" style="1" customWidth="1"/>
    <col min="12038" max="12038" width="75.57421875" style="1" customWidth="1"/>
    <col min="12039" max="12039" width="5.8515625" style="1" customWidth="1"/>
    <col min="12040" max="12040" width="11.28125" style="1" customWidth="1"/>
    <col min="12041" max="12041" width="12.00390625" style="1" customWidth="1"/>
    <col min="12042" max="12042" width="10.28125" style="1" customWidth="1"/>
    <col min="12043" max="12043" width="12.00390625" style="1" customWidth="1"/>
    <col min="12044" max="12044" width="12.28125" style="1" customWidth="1"/>
    <col min="12045" max="12045" width="11.7109375" style="1" customWidth="1"/>
    <col min="12046" max="12056" width="12.140625" style="1" customWidth="1"/>
    <col min="12057" max="12106" width="12.140625" style="1" hidden="1" customWidth="1"/>
    <col min="12107" max="12288" width="12.140625" style="1" customWidth="1"/>
    <col min="12289" max="12289" width="4.00390625" style="1" customWidth="1"/>
    <col min="12290" max="12290" width="14.28125" style="1" customWidth="1"/>
    <col min="12291" max="12291" width="62.421875" style="1" customWidth="1"/>
    <col min="12292" max="12292" width="15.8515625" style="1" customWidth="1"/>
    <col min="12293" max="12293" width="10.8515625" style="1" customWidth="1"/>
    <col min="12294" max="12294" width="75.57421875" style="1" customWidth="1"/>
    <col min="12295" max="12295" width="5.8515625" style="1" customWidth="1"/>
    <col min="12296" max="12296" width="11.28125" style="1" customWidth="1"/>
    <col min="12297" max="12297" width="12.00390625" style="1" customWidth="1"/>
    <col min="12298" max="12298" width="10.28125" style="1" customWidth="1"/>
    <col min="12299" max="12299" width="12.00390625" style="1" customWidth="1"/>
    <col min="12300" max="12300" width="12.28125" style="1" customWidth="1"/>
    <col min="12301" max="12301" width="11.7109375" style="1" customWidth="1"/>
    <col min="12302" max="12312" width="12.140625" style="1" customWidth="1"/>
    <col min="12313" max="12362" width="12.140625" style="1" hidden="1" customWidth="1"/>
    <col min="12363" max="12544" width="12.140625" style="1" customWidth="1"/>
    <col min="12545" max="12545" width="4.00390625" style="1" customWidth="1"/>
    <col min="12546" max="12546" width="14.28125" style="1" customWidth="1"/>
    <col min="12547" max="12547" width="62.421875" style="1" customWidth="1"/>
    <col min="12548" max="12548" width="15.8515625" style="1" customWidth="1"/>
    <col min="12549" max="12549" width="10.8515625" style="1" customWidth="1"/>
    <col min="12550" max="12550" width="75.57421875" style="1" customWidth="1"/>
    <col min="12551" max="12551" width="5.8515625" style="1" customWidth="1"/>
    <col min="12552" max="12552" width="11.28125" style="1" customWidth="1"/>
    <col min="12553" max="12553" width="12.00390625" style="1" customWidth="1"/>
    <col min="12554" max="12554" width="10.28125" style="1" customWidth="1"/>
    <col min="12555" max="12555" width="12.00390625" style="1" customWidth="1"/>
    <col min="12556" max="12556" width="12.28125" style="1" customWidth="1"/>
    <col min="12557" max="12557" width="11.7109375" style="1" customWidth="1"/>
    <col min="12558" max="12568" width="12.140625" style="1" customWidth="1"/>
    <col min="12569" max="12618" width="12.140625" style="1" hidden="1" customWidth="1"/>
    <col min="12619" max="12800" width="12.140625" style="1" customWidth="1"/>
    <col min="12801" max="12801" width="4.00390625" style="1" customWidth="1"/>
    <col min="12802" max="12802" width="14.28125" style="1" customWidth="1"/>
    <col min="12803" max="12803" width="62.421875" style="1" customWidth="1"/>
    <col min="12804" max="12804" width="15.8515625" style="1" customWidth="1"/>
    <col min="12805" max="12805" width="10.8515625" style="1" customWidth="1"/>
    <col min="12806" max="12806" width="75.57421875" style="1" customWidth="1"/>
    <col min="12807" max="12807" width="5.8515625" style="1" customWidth="1"/>
    <col min="12808" max="12808" width="11.28125" style="1" customWidth="1"/>
    <col min="12809" max="12809" width="12.00390625" style="1" customWidth="1"/>
    <col min="12810" max="12810" width="10.28125" style="1" customWidth="1"/>
    <col min="12811" max="12811" width="12.00390625" style="1" customWidth="1"/>
    <col min="12812" max="12812" width="12.28125" style="1" customWidth="1"/>
    <col min="12813" max="12813" width="11.7109375" style="1" customWidth="1"/>
    <col min="12814" max="12824" width="12.140625" style="1" customWidth="1"/>
    <col min="12825" max="12874" width="12.140625" style="1" hidden="1" customWidth="1"/>
    <col min="12875" max="13056" width="12.140625" style="1" customWidth="1"/>
    <col min="13057" max="13057" width="4.00390625" style="1" customWidth="1"/>
    <col min="13058" max="13058" width="14.28125" style="1" customWidth="1"/>
    <col min="13059" max="13059" width="62.421875" style="1" customWidth="1"/>
    <col min="13060" max="13060" width="15.8515625" style="1" customWidth="1"/>
    <col min="13061" max="13061" width="10.8515625" style="1" customWidth="1"/>
    <col min="13062" max="13062" width="75.57421875" style="1" customWidth="1"/>
    <col min="13063" max="13063" width="5.8515625" style="1" customWidth="1"/>
    <col min="13064" max="13064" width="11.28125" style="1" customWidth="1"/>
    <col min="13065" max="13065" width="12.00390625" style="1" customWidth="1"/>
    <col min="13066" max="13066" width="10.28125" style="1" customWidth="1"/>
    <col min="13067" max="13067" width="12.00390625" style="1" customWidth="1"/>
    <col min="13068" max="13068" width="12.28125" style="1" customWidth="1"/>
    <col min="13069" max="13069" width="11.7109375" style="1" customWidth="1"/>
    <col min="13070" max="13080" width="12.140625" style="1" customWidth="1"/>
    <col min="13081" max="13130" width="12.140625" style="1" hidden="1" customWidth="1"/>
    <col min="13131" max="13312" width="12.140625" style="1" customWidth="1"/>
    <col min="13313" max="13313" width="4.00390625" style="1" customWidth="1"/>
    <col min="13314" max="13314" width="14.28125" style="1" customWidth="1"/>
    <col min="13315" max="13315" width="62.421875" style="1" customWidth="1"/>
    <col min="13316" max="13316" width="15.8515625" style="1" customWidth="1"/>
    <col min="13317" max="13317" width="10.8515625" style="1" customWidth="1"/>
    <col min="13318" max="13318" width="75.57421875" style="1" customWidth="1"/>
    <col min="13319" max="13319" width="5.8515625" style="1" customWidth="1"/>
    <col min="13320" max="13320" width="11.28125" style="1" customWidth="1"/>
    <col min="13321" max="13321" width="12.00390625" style="1" customWidth="1"/>
    <col min="13322" max="13322" width="10.28125" style="1" customWidth="1"/>
    <col min="13323" max="13323" width="12.00390625" style="1" customWidth="1"/>
    <col min="13324" max="13324" width="12.28125" style="1" customWidth="1"/>
    <col min="13325" max="13325" width="11.7109375" style="1" customWidth="1"/>
    <col min="13326" max="13336" width="12.140625" style="1" customWidth="1"/>
    <col min="13337" max="13386" width="12.140625" style="1" hidden="1" customWidth="1"/>
    <col min="13387" max="13568" width="12.140625" style="1" customWidth="1"/>
    <col min="13569" max="13569" width="4.00390625" style="1" customWidth="1"/>
    <col min="13570" max="13570" width="14.28125" style="1" customWidth="1"/>
    <col min="13571" max="13571" width="62.421875" style="1" customWidth="1"/>
    <col min="13572" max="13572" width="15.8515625" style="1" customWidth="1"/>
    <col min="13573" max="13573" width="10.8515625" style="1" customWidth="1"/>
    <col min="13574" max="13574" width="75.57421875" style="1" customWidth="1"/>
    <col min="13575" max="13575" width="5.8515625" style="1" customWidth="1"/>
    <col min="13576" max="13576" width="11.28125" style="1" customWidth="1"/>
    <col min="13577" max="13577" width="12.00390625" style="1" customWidth="1"/>
    <col min="13578" max="13578" width="10.28125" style="1" customWidth="1"/>
    <col min="13579" max="13579" width="12.00390625" style="1" customWidth="1"/>
    <col min="13580" max="13580" width="12.28125" style="1" customWidth="1"/>
    <col min="13581" max="13581" width="11.7109375" style="1" customWidth="1"/>
    <col min="13582" max="13592" width="12.140625" style="1" customWidth="1"/>
    <col min="13593" max="13642" width="12.140625" style="1" hidden="1" customWidth="1"/>
    <col min="13643" max="13824" width="12.140625" style="1" customWidth="1"/>
    <col min="13825" max="13825" width="4.00390625" style="1" customWidth="1"/>
    <col min="13826" max="13826" width="14.28125" style="1" customWidth="1"/>
    <col min="13827" max="13827" width="62.421875" style="1" customWidth="1"/>
    <col min="13828" max="13828" width="15.8515625" style="1" customWidth="1"/>
    <col min="13829" max="13829" width="10.8515625" style="1" customWidth="1"/>
    <col min="13830" max="13830" width="75.57421875" style="1" customWidth="1"/>
    <col min="13831" max="13831" width="5.8515625" style="1" customWidth="1"/>
    <col min="13832" max="13832" width="11.28125" style="1" customWidth="1"/>
    <col min="13833" max="13833" width="12.00390625" style="1" customWidth="1"/>
    <col min="13834" max="13834" width="10.28125" style="1" customWidth="1"/>
    <col min="13835" max="13835" width="12.00390625" style="1" customWidth="1"/>
    <col min="13836" max="13836" width="12.28125" style="1" customWidth="1"/>
    <col min="13837" max="13837" width="11.7109375" style="1" customWidth="1"/>
    <col min="13838" max="13848" width="12.140625" style="1" customWidth="1"/>
    <col min="13849" max="13898" width="12.140625" style="1" hidden="1" customWidth="1"/>
    <col min="13899" max="14080" width="12.140625" style="1" customWidth="1"/>
    <col min="14081" max="14081" width="4.00390625" style="1" customWidth="1"/>
    <col min="14082" max="14082" width="14.28125" style="1" customWidth="1"/>
    <col min="14083" max="14083" width="62.421875" style="1" customWidth="1"/>
    <col min="14084" max="14084" width="15.8515625" style="1" customWidth="1"/>
    <col min="14085" max="14085" width="10.8515625" style="1" customWidth="1"/>
    <col min="14086" max="14086" width="75.57421875" style="1" customWidth="1"/>
    <col min="14087" max="14087" width="5.8515625" style="1" customWidth="1"/>
    <col min="14088" max="14088" width="11.28125" style="1" customWidth="1"/>
    <col min="14089" max="14089" width="12.00390625" style="1" customWidth="1"/>
    <col min="14090" max="14090" width="10.28125" style="1" customWidth="1"/>
    <col min="14091" max="14091" width="12.00390625" style="1" customWidth="1"/>
    <col min="14092" max="14092" width="12.28125" style="1" customWidth="1"/>
    <col min="14093" max="14093" width="11.7109375" style="1" customWidth="1"/>
    <col min="14094" max="14104" width="12.140625" style="1" customWidth="1"/>
    <col min="14105" max="14154" width="12.140625" style="1" hidden="1" customWidth="1"/>
    <col min="14155" max="14336" width="12.140625" style="1" customWidth="1"/>
    <col min="14337" max="14337" width="4.00390625" style="1" customWidth="1"/>
    <col min="14338" max="14338" width="14.28125" style="1" customWidth="1"/>
    <col min="14339" max="14339" width="62.421875" style="1" customWidth="1"/>
    <col min="14340" max="14340" width="15.8515625" style="1" customWidth="1"/>
    <col min="14341" max="14341" width="10.8515625" style="1" customWidth="1"/>
    <col min="14342" max="14342" width="75.57421875" style="1" customWidth="1"/>
    <col min="14343" max="14343" width="5.8515625" style="1" customWidth="1"/>
    <col min="14344" max="14344" width="11.28125" style="1" customWidth="1"/>
    <col min="14345" max="14345" width="12.00390625" style="1" customWidth="1"/>
    <col min="14346" max="14346" width="10.28125" style="1" customWidth="1"/>
    <col min="14347" max="14347" width="12.00390625" style="1" customWidth="1"/>
    <col min="14348" max="14348" width="12.28125" style="1" customWidth="1"/>
    <col min="14349" max="14349" width="11.7109375" style="1" customWidth="1"/>
    <col min="14350" max="14360" width="12.140625" style="1" customWidth="1"/>
    <col min="14361" max="14410" width="12.140625" style="1" hidden="1" customWidth="1"/>
    <col min="14411" max="14592" width="12.140625" style="1" customWidth="1"/>
    <col min="14593" max="14593" width="4.00390625" style="1" customWidth="1"/>
    <col min="14594" max="14594" width="14.28125" style="1" customWidth="1"/>
    <col min="14595" max="14595" width="62.421875" style="1" customWidth="1"/>
    <col min="14596" max="14596" width="15.8515625" style="1" customWidth="1"/>
    <col min="14597" max="14597" width="10.8515625" style="1" customWidth="1"/>
    <col min="14598" max="14598" width="75.57421875" style="1" customWidth="1"/>
    <col min="14599" max="14599" width="5.8515625" style="1" customWidth="1"/>
    <col min="14600" max="14600" width="11.28125" style="1" customWidth="1"/>
    <col min="14601" max="14601" width="12.00390625" style="1" customWidth="1"/>
    <col min="14602" max="14602" width="10.28125" style="1" customWidth="1"/>
    <col min="14603" max="14603" width="12.00390625" style="1" customWidth="1"/>
    <col min="14604" max="14604" width="12.28125" style="1" customWidth="1"/>
    <col min="14605" max="14605" width="11.7109375" style="1" customWidth="1"/>
    <col min="14606" max="14616" width="12.140625" style="1" customWidth="1"/>
    <col min="14617" max="14666" width="12.140625" style="1" hidden="1" customWidth="1"/>
    <col min="14667" max="14848" width="12.140625" style="1" customWidth="1"/>
    <col min="14849" max="14849" width="4.00390625" style="1" customWidth="1"/>
    <col min="14850" max="14850" width="14.28125" style="1" customWidth="1"/>
    <col min="14851" max="14851" width="62.421875" style="1" customWidth="1"/>
    <col min="14852" max="14852" width="15.8515625" style="1" customWidth="1"/>
    <col min="14853" max="14853" width="10.8515625" style="1" customWidth="1"/>
    <col min="14854" max="14854" width="75.57421875" style="1" customWidth="1"/>
    <col min="14855" max="14855" width="5.8515625" style="1" customWidth="1"/>
    <col min="14856" max="14856" width="11.28125" style="1" customWidth="1"/>
    <col min="14857" max="14857" width="12.00390625" style="1" customWidth="1"/>
    <col min="14858" max="14858" width="10.28125" style="1" customWidth="1"/>
    <col min="14859" max="14859" width="12.00390625" style="1" customWidth="1"/>
    <col min="14860" max="14860" width="12.28125" style="1" customWidth="1"/>
    <col min="14861" max="14861" width="11.7109375" style="1" customWidth="1"/>
    <col min="14862" max="14872" width="12.140625" style="1" customWidth="1"/>
    <col min="14873" max="14922" width="12.140625" style="1" hidden="1" customWidth="1"/>
    <col min="14923" max="15104" width="12.140625" style="1" customWidth="1"/>
    <col min="15105" max="15105" width="4.00390625" style="1" customWidth="1"/>
    <col min="15106" max="15106" width="14.28125" style="1" customWidth="1"/>
    <col min="15107" max="15107" width="62.421875" style="1" customWidth="1"/>
    <col min="15108" max="15108" width="15.8515625" style="1" customWidth="1"/>
    <col min="15109" max="15109" width="10.8515625" style="1" customWidth="1"/>
    <col min="15110" max="15110" width="75.57421875" style="1" customWidth="1"/>
    <col min="15111" max="15111" width="5.8515625" style="1" customWidth="1"/>
    <col min="15112" max="15112" width="11.28125" style="1" customWidth="1"/>
    <col min="15113" max="15113" width="12.00390625" style="1" customWidth="1"/>
    <col min="15114" max="15114" width="10.28125" style="1" customWidth="1"/>
    <col min="15115" max="15115" width="12.00390625" style="1" customWidth="1"/>
    <col min="15116" max="15116" width="12.28125" style="1" customWidth="1"/>
    <col min="15117" max="15117" width="11.7109375" style="1" customWidth="1"/>
    <col min="15118" max="15128" width="12.140625" style="1" customWidth="1"/>
    <col min="15129" max="15178" width="12.140625" style="1" hidden="1" customWidth="1"/>
    <col min="15179" max="15360" width="12.140625" style="1" customWidth="1"/>
    <col min="15361" max="15361" width="4.00390625" style="1" customWidth="1"/>
    <col min="15362" max="15362" width="14.28125" style="1" customWidth="1"/>
    <col min="15363" max="15363" width="62.421875" style="1" customWidth="1"/>
    <col min="15364" max="15364" width="15.8515625" style="1" customWidth="1"/>
    <col min="15365" max="15365" width="10.8515625" style="1" customWidth="1"/>
    <col min="15366" max="15366" width="75.57421875" style="1" customWidth="1"/>
    <col min="15367" max="15367" width="5.8515625" style="1" customWidth="1"/>
    <col min="15368" max="15368" width="11.28125" style="1" customWidth="1"/>
    <col min="15369" max="15369" width="12.00390625" style="1" customWidth="1"/>
    <col min="15370" max="15370" width="10.28125" style="1" customWidth="1"/>
    <col min="15371" max="15371" width="12.00390625" style="1" customWidth="1"/>
    <col min="15372" max="15372" width="12.28125" style="1" customWidth="1"/>
    <col min="15373" max="15373" width="11.7109375" style="1" customWidth="1"/>
    <col min="15374" max="15384" width="12.140625" style="1" customWidth="1"/>
    <col min="15385" max="15434" width="12.140625" style="1" hidden="1" customWidth="1"/>
    <col min="15435" max="15616" width="12.140625" style="1" customWidth="1"/>
    <col min="15617" max="15617" width="4.00390625" style="1" customWidth="1"/>
    <col min="15618" max="15618" width="14.28125" style="1" customWidth="1"/>
    <col min="15619" max="15619" width="62.421875" style="1" customWidth="1"/>
    <col min="15620" max="15620" width="15.8515625" style="1" customWidth="1"/>
    <col min="15621" max="15621" width="10.8515625" style="1" customWidth="1"/>
    <col min="15622" max="15622" width="75.57421875" style="1" customWidth="1"/>
    <col min="15623" max="15623" width="5.8515625" style="1" customWidth="1"/>
    <col min="15624" max="15624" width="11.28125" style="1" customWidth="1"/>
    <col min="15625" max="15625" width="12.00390625" style="1" customWidth="1"/>
    <col min="15626" max="15626" width="10.28125" style="1" customWidth="1"/>
    <col min="15627" max="15627" width="12.00390625" style="1" customWidth="1"/>
    <col min="15628" max="15628" width="12.28125" style="1" customWidth="1"/>
    <col min="15629" max="15629" width="11.7109375" style="1" customWidth="1"/>
    <col min="15630" max="15640" width="12.140625" style="1" customWidth="1"/>
    <col min="15641" max="15690" width="12.140625" style="1" hidden="1" customWidth="1"/>
    <col min="15691" max="15872" width="12.140625" style="1" customWidth="1"/>
    <col min="15873" max="15873" width="4.00390625" style="1" customWidth="1"/>
    <col min="15874" max="15874" width="14.28125" style="1" customWidth="1"/>
    <col min="15875" max="15875" width="62.421875" style="1" customWidth="1"/>
    <col min="15876" max="15876" width="15.8515625" style="1" customWidth="1"/>
    <col min="15877" max="15877" width="10.8515625" style="1" customWidth="1"/>
    <col min="15878" max="15878" width="75.57421875" style="1" customWidth="1"/>
    <col min="15879" max="15879" width="5.8515625" style="1" customWidth="1"/>
    <col min="15880" max="15880" width="11.28125" style="1" customWidth="1"/>
    <col min="15881" max="15881" width="12.00390625" style="1" customWidth="1"/>
    <col min="15882" max="15882" width="10.28125" style="1" customWidth="1"/>
    <col min="15883" max="15883" width="12.00390625" style="1" customWidth="1"/>
    <col min="15884" max="15884" width="12.28125" style="1" customWidth="1"/>
    <col min="15885" max="15885" width="11.7109375" style="1" customWidth="1"/>
    <col min="15886" max="15896" width="12.140625" style="1" customWidth="1"/>
    <col min="15897" max="15946" width="12.140625" style="1" hidden="1" customWidth="1"/>
    <col min="15947" max="16128" width="12.140625" style="1" customWidth="1"/>
    <col min="16129" max="16129" width="4.00390625" style="1" customWidth="1"/>
    <col min="16130" max="16130" width="14.28125" style="1" customWidth="1"/>
    <col min="16131" max="16131" width="62.421875" style="1" customWidth="1"/>
    <col min="16132" max="16132" width="15.8515625" style="1" customWidth="1"/>
    <col min="16133" max="16133" width="10.8515625" style="1" customWidth="1"/>
    <col min="16134" max="16134" width="75.57421875" style="1" customWidth="1"/>
    <col min="16135" max="16135" width="5.8515625" style="1" customWidth="1"/>
    <col min="16136" max="16136" width="11.28125" style="1" customWidth="1"/>
    <col min="16137" max="16137" width="12.00390625" style="1" customWidth="1"/>
    <col min="16138" max="16138" width="10.28125" style="1" customWidth="1"/>
    <col min="16139" max="16139" width="12.00390625" style="1" customWidth="1"/>
    <col min="16140" max="16140" width="12.28125" style="1" customWidth="1"/>
    <col min="16141" max="16141" width="11.7109375" style="1" customWidth="1"/>
    <col min="16142" max="16152" width="12.140625" style="1" customWidth="1"/>
    <col min="16153" max="16202" width="12.140625" style="1" hidden="1" customWidth="1"/>
    <col min="16203" max="16384" width="12.140625" style="1" customWidth="1"/>
  </cols>
  <sheetData>
    <row r="1" spans="1:13" ht="54.75" customHeight="1">
      <c r="A1" s="136" t="str">
        <f>C4</f>
        <v>SO 404 – MAN ul. Kotlářská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" customHeight="1">
      <c r="A2" s="137" t="s">
        <v>0</v>
      </c>
      <c r="B2" s="138"/>
      <c r="C2" s="139" t="s">
        <v>1</v>
      </c>
      <c r="D2" s="138" t="s">
        <v>2</v>
      </c>
      <c r="E2" s="138" t="s">
        <v>3</v>
      </c>
      <c r="F2" s="142" t="s">
        <v>4</v>
      </c>
      <c r="G2" s="142" t="s">
        <v>5</v>
      </c>
      <c r="H2" s="138"/>
      <c r="I2" s="138"/>
      <c r="J2" s="138"/>
      <c r="K2" s="138"/>
      <c r="L2" s="138"/>
      <c r="M2" s="143"/>
    </row>
    <row r="3" spans="1:13" ht="15" customHeight="1">
      <c r="A3" s="134"/>
      <c r="B3" s="115"/>
      <c r="C3" s="141"/>
      <c r="D3" s="115"/>
      <c r="E3" s="115"/>
      <c r="F3" s="115"/>
      <c r="G3" s="115"/>
      <c r="H3" s="115"/>
      <c r="I3" s="115"/>
      <c r="J3" s="115"/>
      <c r="K3" s="115"/>
      <c r="L3" s="115"/>
      <c r="M3" s="133"/>
    </row>
    <row r="4" spans="1:13" ht="15" customHeight="1">
      <c r="A4" s="129" t="s">
        <v>6</v>
      </c>
      <c r="B4" s="115"/>
      <c r="C4" s="114" t="s">
        <v>1285</v>
      </c>
      <c r="D4" s="115" t="s">
        <v>8</v>
      </c>
      <c r="E4" s="115"/>
      <c r="F4" s="114" t="s">
        <v>9</v>
      </c>
      <c r="G4" s="114" t="s">
        <v>1282</v>
      </c>
      <c r="H4" s="115"/>
      <c r="I4" s="115"/>
      <c r="J4" s="115"/>
      <c r="K4" s="115"/>
      <c r="L4" s="115"/>
      <c r="M4" s="133"/>
    </row>
    <row r="5" spans="1:13" ht="15" customHeight="1">
      <c r="A5" s="13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33"/>
    </row>
    <row r="6" spans="1:13" ht="15" customHeight="1">
      <c r="A6" s="129" t="s">
        <v>11</v>
      </c>
      <c r="B6" s="115"/>
      <c r="C6" s="114" t="s">
        <v>12</v>
      </c>
      <c r="D6" s="115" t="s">
        <v>13</v>
      </c>
      <c r="E6" s="115" t="s">
        <v>3</v>
      </c>
      <c r="F6" s="114" t="s">
        <v>14</v>
      </c>
      <c r="G6" s="115" t="s">
        <v>15</v>
      </c>
      <c r="H6" s="115"/>
      <c r="I6" s="115"/>
      <c r="J6" s="115"/>
      <c r="K6" s="115"/>
      <c r="L6" s="115"/>
      <c r="M6" s="133"/>
    </row>
    <row r="7" spans="1:13" ht="15" customHeight="1">
      <c r="A7" s="13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33"/>
    </row>
    <row r="8" spans="1:13" ht="15" customHeight="1">
      <c r="A8" s="129" t="s">
        <v>16</v>
      </c>
      <c r="B8" s="115"/>
      <c r="C8" s="114" t="s">
        <v>3</v>
      </c>
      <c r="D8" s="115" t="s">
        <v>17</v>
      </c>
      <c r="E8" s="115" t="s">
        <v>18</v>
      </c>
      <c r="F8" s="114" t="s">
        <v>19</v>
      </c>
      <c r="G8" s="114" t="s">
        <v>1280</v>
      </c>
      <c r="H8" s="115"/>
      <c r="I8" s="115"/>
      <c r="J8" s="115"/>
      <c r="K8" s="115"/>
      <c r="L8" s="115"/>
      <c r="M8" s="133"/>
    </row>
    <row r="9" spans="1:13" ht="15" customHeight="1" thickBot="1">
      <c r="A9" s="13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33"/>
    </row>
    <row r="10" spans="1:64" ht="15" customHeight="1">
      <c r="A10" s="5" t="s">
        <v>21</v>
      </c>
      <c r="B10" s="6" t="s">
        <v>22</v>
      </c>
      <c r="C10" s="145" t="s">
        <v>23</v>
      </c>
      <c r="D10" s="145"/>
      <c r="E10" s="145"/>
      <c r="F10" s="146"/>
      <c r="G10" s="6" t="s">
        <v>24</v>
      </c>
      <c r="H10" s="7" t="s">
        <v>25</v>
      </c>
      <c r="I10" s="8" t="s">
        <v>26</v>
      </c>
      <c r="J10" s="173" t="s">
        <v>27</v>
      </c>
      <c r="K10" s="174"/>
      <c r="L10" s="175"/>
      <c r="M10" s="9" t="s">
        <v>28</v>
      </c>
      <c r="BK10" s="10" t="s">
        <v>29</v>
      </c>
      <c r="BL10" s="11" t="s">
        <v>30</v>
      </c>
    </row>
    <row r="11" spans="1:62" ht="15" customHeight="1">
      <c r="A11" s="48" t="s">
        <v>3</v>
      </c>
      <c r="B11" s="4" t="s">
        <v>3</v>
      </c>
      <c r="C11" s="141" t="s">
        <v>31</v>
      </c>
      <c r="D11" s="141"/>
      <c r="E11" s="141"/>
      <c r="F11" s="176"/>
      <c r="G11" s="4" t="s">
        <v>3</v>
      </c>
      <c r="H11" s="4" t="s">
        <v>3</v>
      </c>
      <c r="I11" s="49" t="s">
        <v>32</v>
      </c>
      <c r="J11" s="50" t="s">
        <v>33</v>
      </c>
      <c r="K11" s="51" t="s">
        <v>34</v>
      </c>
      <c r="L11" s="52" t="s">
        <v>35</v>
      </c>
      <c r="M11" s="52" t="s">
        <v>36</v>
      </c>
      <c r="Z11" s="10" t="s">
        <v>37</v>
      </c>
      <c r="AA11" s="10" t="s">
        <v>38</v>
      </c>
      <c r="AB11" s="10" t="s">
        <v>39</v>
      </c>
      <c r="AC11" s="10" t="s">
        <v>40</v>
      </c>
      <c r="AD11" s="10" t="s">
        <v>41</v>
      </c>
      <c r="AE11" s="10" t="s">
        <v>42</v>
      </c>
      <c r="AF11" s="10" t="s">
        <v>43</v>
      </c>
      <c r="AG11" s="10" t="s">
        <v>44</v>
      </c>
      <c r="AH11" s="10" t="s">
        <v>45</v>
      </c>
      <c r="BH11" s="10" t="s">
        <v>46</v>
      </c>
      <c r="BI11" s="10" t="s">
        <v>47</v>
      </c>
      <c r="BJ11" s="10" t="s">
        <v>48</v>
      </c>
    </row>
    <row r="12" spans="1:47" ht="15" customHeight="1">
      <c r="A12" s="53" t="s">
        <v>49</v>
      </c>
      <c r="B12" s="54"/>
      <c r="C12" s="177" t="str">
        <f>C4</f>
        <v>SO 404 – MAN ul. Kotlářská</v>
      </c>
      <c r="D12" s="177"/>
      <c r="E12" s="177"/>
      <c r="F12" s="177"/>
      <c r="G12" s="55" t="s">
        <v>3</v>
      </c>
      <c r="H12" s="55" t="s">
        <v>3</v>
      </c>
      <c r="I12" s="55" t="s">
        <v>3</v>
      </c>
      <c r="J12" s="56">
        <f>SUM(J13:J13)</f>
        <v>0</v>
      </c>
      <c r="K12" s="56">
        <f>SUM(K13:K13)</f>
        <v>0</v>
      </c>
      <c r="L12" s="56">
        <f>L13</f>
        <v>0</v>
      </c>
      <c r="M12" s="57" t="s">
        <v>49</v>
      </c>
      <c r="AI12" s="10" t="s">
        <v>49</v>
      </c>
      <c r="AS12" s="19">
        <f>SUM(AJ13:AJ13)</f>
        <v>0</v>
      </c>
      <c r="AT12" s="19">
        <f>SUM(AK13:AK13)</f>
        <v>0</v>
      </c>
      <c r="AU12" s="19">
        <f>SUM(AL13:AL13)</f>
        <v>0</v>
      </c>
    </row>
    <row r="13" spans="1:64" ht="15" customHeight="1">
      <c r="A13" s="58" t="s">
        <v>52</v>
      </c>
      <c r="B13" s="3"/>
      <c r="C13" s="115" t="str">
        <f>C4</f>
        <v>SO 404 – MAN ul. Kotlářská</v>
      </c>
      <c r="D13" s="115"/>
      <c r="E13" s="115"/>
      <c r="F13" s="115"/>
      <c r="G13" s="3" t="s">
        <v>1185</v>
      </c>
      <c r="H13" s="20">
        <v>1</v>
      </c>
      <c r="I13" s="106"/>
      <c r="J13" s="20">
        <f>H13*AO13</f>
        <v>0</v>
      </c>
      <c r="K13" s="20">
        <f>H13*AP13</f>
        <v>0</v>
      </c>
      <c r="L13" s="20">
        <f>H13*I13</f>
        <v>0</v>
      </c>
      <c r="M13" s="59"/>
      <c r="Z13" s="20">
        <f>IF(AQ13="5",BJ13,0)</f>
        <v>0</v>
      </c>
      <c r="AB13" s="20">
        <f>IF(AQ13="1",BH13,0)</f>
        <v>0</v>
      </c>
      <c r="AC13" s="20">
        <f>IF(AQ13="1",BI13,0)</f>
        <v>0</v>
      </c>
      <c r="AD13" s="20">
        <f>IF(AQ13="7",BH13,0)</f>
        <v>0</v>
      </c>
      <c r="AE13" s="20">
        <f>IF(AQ13="7",BI13,0)</f>
        <v>0</v>
      </c>
      <c r="AF13" s="20">
        <f>IF(AQ13="2",BH13,0)</f>
        <v>0</v>
      </c>
      <c r="AG13" s="20">
        <f>IF(AQ13="2",BI13,0)</f>
        <v>0</v>
      </c>
      <c r="AH13" s="20">
        <f>IF(AQ13="0",BJ13,0)</f>
        <v>0</v>
      </c>
      <c r="AI13" s="10" t="s">
        <v>49</v>
      </c>
      <c r="AJ13" s="20">
        <f>IF(AN13=0,L13,0)</f>
        <v>0</v>
      </c>
      <c r="AK13" s="20">
        <f>IF(AN13=15,L13,0)</f>
        <v>0</v>
      </c>
      <c r="AL13" s="20">
        <f>IF(AN13=21,L13,0)</f>
        <v>0</v>
      </c>
      <c r="AN13" s="20">
        <v>21</v>
      </c>
      <c r="AO13" s="20">
        <f>I13*0</f>
        <v>0</v>
      </c>
      <c r="AP13" s="20">
        <f>I13*(1-0)</f>
        <v>0</v>
      </c>
      <c r="AQ13" s="21" t="s">
        <v>52</v>
      </c>
      <c r="AV13" s="20">
        <f>AW13+AX13</f>
        <v>0</v>
      </c>
      <c r="AW13" s="20">
        <f>H13*AO13</f>
        <v>0</v>
      </c>
      <c r="AX13" s="20">
        <f>H13*AP13</f>
        <v>0</v>
      </c>
      <c r="AY13" s="21" t="s">
        <v>56</v>
      </c>
      <c r="AZ13" s="21" t="s">
        <v>57</v>
      </c>
      <c r="BA13" s="10" t="s">
        <v>58</v>
      </c>
      <c r="BC13" s="20">
        <f>AW13+AX13</f>
        <v>0</v>
      </c>
      <c r="BD13" s="20">
        <f>I13/(100-BE13)*100</f>
        <v>0</v>
      </c>
      <c r="BE13" s="20">
        <v>0</v>
      </c>
      <c r="BF13" s="20">
        <f>13</f>
        <v>13</v>
      </c>
      <c r="BH13" s="20">
        <f>H13*AO13</f>
        <v>0</v>
      </c>
      <c r="BI13" s="20">
        <f>H13*AP13</f>
        <v>0</v>
      </c>
      <c r="BJ13" s="20">
        <f>H13*I13</f>
        <v>0</v>
      </c>
      <c r="BK13" s="20"/>
      <c r="BL13" s="20">
        <v>11</v>
      </c>
    </row>
    <row r="14" spans="1:13" ht="15" customHeight="1">
      <c r="A14" s="60"/>
      <c r="B14" s="61"/>
      <c r="C14" s="61"/>
      <c r="D14" s="61"/>
      <c r="E14" s="61"/>
      <c r="F14" s="61"/>
      <c r="G14" s="61"/>
      <c r="H14" s="61"/>
      <c r="I14" s="61"/>
      <c r="J14" s="172" t="s">
        <v>1081</v>
      </c>
      <c r="K14" s="172"/>
      <c r="L14" s="62">
        <f>L13</f>
        <v>0</v>
      </c>
      <c r="M14" s="63"/>
    </row>
  </sheetData>
  <sheetProtection algorithmName="SHA-512" hashValue="4iF9B/J83WuFQvc5uscAU11QqkiBlD4e2Frr4GVCmp1YVFOWU9bdZMflUNrk5UTWMAXHmQDZdP3I6gBINQYJ5w==" saltValue="trc7ZnAh53f4lk4dYdlsDg==" spinCount="100000" sheet="1" objects="1" scenarios="1"/>
  <mergeCells count="31">
    <mergeCell ref="A1:M1"/>
    <mergeCell ref="A2:B3"/>
    <mergeCell ref="C2:C3"/>
    <mergeCell ref="D2:D3"/>
    <mergeCell ref="E2:E3"/>
    <mergeCell ref="F2:F3"/>
    <mergeCell ref="G2:M3"/>
    <mergeCell ref="G6:M7"/>
    <mergeCell ref="A4:B5"/>
    <mergeCell ref="C4:C5"/>
    <mergeCell ref="D4:D5"/>
    <mergeCell ref="E4:E5"/>
    <mergeCell ref="F4:F5"/>
    <mergeCell ref="G4:M5"/>
    <mergeCell ref="A6:B7"/>
    <mergeCell ref="C6:C7"/>
    <mergeCell ref="D6:D7"/>
    <mergeCell ref="E6:E7"/>
    <mergeCell ref="F6:F7"/>
    <mergeCell ref="J14:K14"/>
    <mergeCell ref="A8:B9"/>
    <mergeCell ref="C8:C9"/>
    <mergeCell ref="D8:D9"/>
    <mergeCell ref="E8:E9"/>
    <mergeCell ref="F8:F9"/>
    <mergeCell ref="G8:M9"/>
    <mergeCell ref="C10:F10"/>
    <mergeCell ref="J10:L10"/>
    <mergeCell ref="C11:F11"/>
    <mergeCell ref="C12:F12"/>
    <mergeCell ref="C13:F1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"/>
  <sheetViews>
    <sheetView workbookViewId="0" topLeftCell="A1">
      <selection activeCell="C13" sqref="C13:F13"/>
    </sheetView>
  </sheetViews>
  <sheetFormatPr defaultColWidth="12.140625" defaultRowHeight="15"/>
  <cols>
    <col min="1" max="1" width="4.00390625" style="1" customWidth="1"/>
    <col min="2" max="2" width="14.28125" style="1" customWidth="1"/>
    <col min="3" max="3" width="62.421875" style="1" customWidth="1"/>
    <col min="4" max="4" width="15.8515625" style="1" customWidth="1"/>
    <col min="5" max="5" width="10.8515625" style="1" customWidth="1"/>
    <col min="6" max="6" width="75.57421875" style="1" customWidth="1"/>
    <col min="7" max="7" width="5.8515625" style="1" customWidth="1"/>
    <col min="8" max="8" width="11.28125" style="1" customWidth="1"/>
    <col min="9" max="9" width="12.00390625" style="1" customWidth="1"/>
    <col min="10" max="10" width="10.28125" style="1" customWidth="1"/>
    <col min="11" max="11" width="12.00390625" style="1" customWidth="1"/>
    <col min="12" max="12" width="12.28125" style="1" customWidth="1"/>
    <col min="13" max="13" width="11.7109375" style="1" customWidth="1"/>
    <col min="14" max="24" width="12.140625" style="1" customWidth="1"/>
    <col min="25" max="74" width="12.140625" style="1" hidden="1" customWidth="1"/>
    <col min="75" max="256" width="12.140625" style="1" customWidth="1"/>
    <col min="257" max="257" width="4.00390625" style="1" customWidth="1"/>
    <col min="258" max="258" width="14.28125" style="1" customWidth="1"/>
    <col min="259" max="259" width="62.421875" style="1" customWidth="1"/>
    <col min="260" max="260" width="15.8515625" style="1" customWidth="1"/>
    <col min="261" max="261" width="10.8515625" style="1" customWidth="1"/>
    <col min="262" max="262" width="75.57421875" style="1" customWidth="1"/>
    <col min="263" max="263" width="5.8515625" style="1" customWidth="1"/>
    <col min="264" max="264" width="11.28125" style="1" customWidth="1"/>
    <col min="265" max="265" width="12.00390625" style="1" customWidth="1"/>
    <col min="266" max="266" width="10.28125" style="1" customWidth="1"/>
    <col min="267" max="267" width="12.00390625" style="1" customWidth="1"/>
    <col min="268" max="268" width="12.28125" style="1" customWidth="1"/>
    <col min="269" max="269" width="11.7109375" style="1" customWidth="1"/>
    <col min="270" max="280" width="12.140625" style="1" customWidth="1"/>
    <col min="281" max="330" width="12.140625" style="1" hidden="1" customWidth="1"/>
    <col min="331" max="512" width="12.140625" style="1" customWidth="1"/>
    <col min="513" max="513" width="4.00390625" style="1" customWidth="1"/>
    <col min="514" max="514" width="14.28125" style="1" customWidth="1"/>
    <col min="515" max="515" width="62.421875" style="1" customWidth="1"/>
    <col min="516" max="516" width="15.8515625" style="1" customWidth="1"/>
    <col min="517" max="517" width="10.8515625" style="1" customWidth="1"/>
    <col min="518" max="518" width="75.57421875" style="1" customWidth="1"/>
    <col min="519" max="519" width="5.8515625" style="1" customWidth="1"/>
    <col min="520" max="520" width="11.28125" style="1" customWidth="1"/>
    <col min="521" max="521" width="12.00390625" style="1" customWidth="1"/>
    <col min="522" max="522" width="10.28125" style="1" customWidth="1"/>
    <col min="523" max="523" width="12.00390625" style="1" customWidth="1"/>
    <col min="524" max="524" width="12.28125" style="1" customWidth="1"/>
    <col min="525" max="525" width="11.7109375" style="1" customWidth="1"/>
    <col min="526" max="536" width="12.140625" style="1" customWidth="1"/>
    <col min="537" max="586" width="12.140625" style="1" hidden="1" customWidth="1"/>
    <col min="587" max="768" width="12.140625" style="1" customWidth="1"/>
    <col min="769" max="769" width="4.00390625" style="1" customWidth="1"/>
    <col min="770" max="770" width="14.28125" style="1" customWidth="1"/>
    <col min="771" max="771" width="62.421875" style="1" customWidth="1"/>
    <col min="772" max="772" width="15.8515625" style="1" customWidth="1"/>
    <col min="773" max="773" width="10.8515625" style="1" customWidth="1"/>
    <col min="774" max="774" width="75.57421875" style="1" customWidth="1"/>
    <col min="775" max="775" width="5.8515625" style="1" customWidth="1"/>
    <col min="776" max="776" width="11.28125" style="1" customWidth="1"/>
    <col min="777" max="777" width="12.00390625" style="1" customWidth="1"/>
    <col min="778" max="778" width="10.28125" style="1" customWidth="1"/>
    <col min="779" max="779" width="12.00390625" style="1" customWidth="1"/>
    <col min="780" max="780" width="12.28125" style="1" customWidth="1"/>
    <col min="781" max="781" width="11.7109375" style="1" customWidth="1"/>
    <col min="782" max="792" width="12.140625" style="1" customWidth="1"/>
    <col min="793" max="842" width="12.140625" style="1" hidden="1" customWidth="1"/>
    <col min="843" max="1024" width="12.140625" style="1" customWidth="1"/>
    <col min="1025" max="1025" width="4.00390625" style="1" customWidth="1"/>
    <col min="1026" max="1026" width="14.28125" style="1" customWidth="1"/>
    <col min="1027" max="1027" width="62.421875" style="1" customWidth="1"/>
    <col min="1028" max="1028" width="15.8515625" style="1" customWidth="1"/>
    <col min="1029" max="1029" width="10.8515625" style="1" customWidth="1"/>
    <col min="1030" max="1030" width="75.57421875" style="1" customWidth="1"/>
    <col min="1031" max="1031" width="5.8515625" style="1" customWidth="1"/>
    <col min="1032" max="1032" width="11.28125" style="1" customWidth="1"/>
    <col min="1033" max="1033" width="12.00390625" style="1" customWidth="1"/>
    <col min="1034" max="1034" width="10.28125" style="1" customWidth="1"/>
    <col min="1035" max="1035" width="12.00390625" style="1" customWidth="1"/>
    <col min="1036" max="1036" width="12.28125" style="1" customWidth="1"/>
    <col min="1037" max="1037" width="11.7109375" style="1" customWidth="1"/>
    <col min="1038" max="1048" width="12.140625" style="1" customWidth="1"/>
    <col min="1049" max="1098" width="12.140625" style="1" hidden="1" customWidth="1"/>
    <col min="1099" max="1280" width="12.140625" style="1" customWidth="1"/>
    <col min="1281" max="1281" width="4.00390625" style="1" customWidth="1"/>
    <col min="1282" max="1282" width="14.28125" style="1" customWidth="1"/>
    <col min="1283" max="1283" width="62.421875" style="1" customWidth="1"/>
    <col min="1284" max="1284" width="15.8515625" style="1" customWidth="1"/>
    <col min="1285" max="1285" width="10.8515625" style="1" customWidth="1"/>
    <col min="1286" max="1286" width="75.57421875" style="1" customWidth="1"/>
    <col min="1287" max="1287" width="5.8515625" style="1" customWidth="1"/>
    <col min="1288" max="1288" width="11.28125" style="1" customWidth="1"/>
    <col min="1289" max="1289" width="12.00390625" style="1" customWidth="1"/>
    <col min="1290" max="1290" width="10.28125" style="1" customWidth="1"/>
    <col min="1291" max="1291" width="12.00390625" style="1" customWidth="1"/>
    <col min="1292" max="1292" width="12.28125" style="1" customWidth="1"/>
    <col min="1293" max="1293" width="11.7109375" style="1" customWidth="1"/>
    <col min="1294" max="1304" width="12.140625" style="1" customWidth="1"/>
    <col min="1305" max="1354" width="12.140625" style="1" hidden="1" customWidth="1"/>
    <col min="1355" max="1536" width="12.140625" style="1" customWidth="1"/>
    <col min="1537" max="1537" width="4.00390625" style="1" customWidth="1"/>
    <col min="1538" max="1538" width="14.28125" style="1" customWidth="1"/>
    <col min="1539" max="1539" width="62.421875" style="1" customWidth="1"/>
    <col min="1540" max="1540" width="15.8515625" style="1" customWidth="1"/>
    <col min="1541" max="1541" width="10.8515625" style="1" customWidth="1"/>
    <col min="1542" max="1542" width="75.57421875" style="1" customWidth="1"/>
    <col min="1543" max="1543" width="5.8515625" style="1" customWidth="1"/>
    <col min="1544" max="1544" width="11.28125" style="1" customWidth="1"/>
    <col min="1545" max="1545" width="12.00390625" style="1" customWidth="1"/>
    <col min="1546" max="1546" width="10.28125" style="1" customWidth="1"/>
    <col min="1547" max="1547" width="12.00390625" style="1" customWidth="1"/>
    <col min="1548" max="1548" width="12.28125" style="1" customWidth="1"/>
    <col min="1549" max="1549" width="11.7109375" style="1" customWidth="1"/>
    <col min="1550" max="1560" width="12.140625" style="1" customWidth="1"/>
    <col min="1561" max="1610" width="12.140625" style="1" hidden="1" customWidth="1"/>
    <col min="1611" max="1792" width="12.140625" style="1" customWidth="1"/>
    <col min="1793" max="1793" width="4.00390625" style="1" customWidth="1"/>
    <col min="1794" max="1794" width="14.28125" style="1" customWidth="1"/>
    <col min="1795" max="1795" width="62.421875" style="1" customWidth="1"/>
    <col min="1796" max="1796" width="15.8515625" style="1" customWidth="1"/>
    <col min="1797" max="1797" width="10.8515625" style="1" customWidth="1"/>
    <col min="1798" max="1798" width="75.57421875" style="1" customWidth="1"/>
    <col min="1799" max="1799" width="5.8515625" style="1" customWidth="1"/>
    <col min="1800" max="1800" width="11.28125" style="1" customWidth="1"/>
    <col min="1801" max="1801" width="12.00390625" style="1" customWidth="1"/>
    <col min="1802" max="1802" width="10.28125" style="1" customWidth="1"/>
    <col min="1803" max="1803" width="12.00390625" style="1" customWidth="1"/>
    <col min="1804" max="1804" width="12.28125" style="1" customWidth="1"/>
    <col min="1805" max="1805" width="11.7109375" style="1" customWidth="1"/>
    <col min="1806" max="1816" width="12.140625" style="1" customWidth="1"/>
    <col min="1817" max="1866" width="12.140625" style="1" hidden="1" customWidth="1"/>
    <col min="1867" max="2048" width="12.140625" style="1" customWidth="1"/>
    <col min="2049" max="2049" width="4.00390625" style="1" customWidth="1"/>
    <col min="2050" max="2050" width="14.28125" style="1" customWidth="1"/>
    <col min="2051" max="2051" width="62.421875" style="1" customWidth="1"/>
    <col min="2052" max="2052" width="15.8515625" style="1" customWidth="1"/>
    <col min="2053" max="2053" width="10.8515625" style="1" customWidth="1"/>
    <col min="2054" max="2054" width="75.57421875" style="1" customWidth="1"/>
    <col min="2055" max="2055" width="5.8515625" style="1" customWidth="1"/>
    <col min="2056" max="2056" width="11.28125" style="1" customWidth="1"/>
    <col min="2057" max="2057" width="12.00390625" style="1" customWidth="1"/>
    <col min="2058" max="2058" width="10.28125" style="1" customWidth="1"/>
    <col min="2059" max="2059" width="12.00390625" style="1" customWidth="1"/>
    <col min="2060" max="2060" width="12.28125" style="1" customWidth="1"/>
    <col min="2061" max="2061" width="11.7109375" style="1" customWidth="1"/>
    <col min="2062" max="2072" width="12.140625" style="1" customWidth="1"/>
    <col min="2073" max="2122" width="12.140625" style="1" hidden="1" customWidth="1"/>
    <col min="2123" max="2304" width="12.140625" style="1" customWidth="1"/>
    <col min="2305" max="2305" width="4.00390625" style="1" customWidth="1"/>
    <col min="2306" max="2306" width="14.28125" style="1" customWidth="1"/>
    <col min="2307" max="2307" width="62.421875" style="1" customWidth="1"/>
    <col min="2308" max="2308" width="15.8515625" style="1" customWidth="1"/>
    <col min="2309" max="2309" width="10.8515625" style="1" customWidth="1"/>
    <col min="2310" max="2310" width="75.57421875" style="1" customWidth="1"/>
    <col min="2311" max="2311" width="5.8515625" style="1" customWidth="1"/>
    <col min="2312" max="2312" width="11.28125" style="1" customWidth="1"/>
    <col min="2313" max="2313" width="12.00390625" style="1" customWidth="1"/>
    <col min="2314" max="2314" width="10.28125" style="1" customWidth="1"/>
    <col min="2315" max="2315" width="12.00390625" style="1" customWidth="1"/>
    <col min="2316" max="2316" width="12.28125" style="1" customWidth="1"/>
    <col min="2317" max="2317" width="11.7109375" style="1" customWidth="1"/>
    <col min="2318" max="2328" width="12.140625" style="1" customWidth="1"/>
    <col min="2329" max="2378" width="12.140625" style="1" hidden="1" customWidth="1"/>
    <col min="2379" max="2560" width="12.140625" style="1" customWidth="1"/>
    <col min="2561" max="2561" width="4.00390625" style="1" customWidth="1"/>
    <col min="2562" max="2562" width="14.28125" style="1" customWidth="1"/>
    <col min="2563" max="2563" width="62.421875" style="1" customWidth="1"/>
    <col min="2564" max="2564" width="15.8515625" style="1" customWidth="1"/>
    <col min="2565" max="2565" width="10.8515625" style="1" customWidth="1"/>
    <col min="2566" max="2566" width="75.57421875" style="1" customWidth="1"/>
    <col min="2567" max="2567" width="5.8515625" style="1" customWidth="1"/>
    <col min="2568" max="2568" width="11.28125" style="1" customWidth="1"/>
    <col min="2569" max="2569" width="12.00390625" style="1" customWidth="1"/>
    <col min="2570" max="2570" width="10.28125" style="1" customWidth="1"/>
    <col min="2571" max="2571" width="12.00390625" style="1" customWidth="1"/>
    <col min="2572" max="2572" width="12.28125" style="1" customWidth="1"/>
    <col min="2573" max="2573" width="11.7109375" style="1" customWidth="1"/>
    <col min="2574" max="2584" width="12.140625" style="1" customWidth="1"/>
    <col min="2585" max="2634" width="12.140625" style="1" hidden="1" customWidth="1"/>
    <col min="2635" max="2816" width="12.140625" style="1" customWidth="1"/>
    <col min="2817" max="2817" width="4.00390625" style="1" customWidth="1"/>
    <col min="2818" max="2818" width="14.28125" style="1" customWidth="1"/>
    <col min="2819" max="2819" width="62.421875" style="1" customWidth="1"/>
    <col min="2820" max="2820" width="15.8515625" style="1" customWidth="1"/>
    <col min="2821" max="2821" width="10.8515625" style="1" customWidth="1"/>
    <col min="2822" max="2822" width="75.57421875" style="1" customWidth="1"/>
    <col min="2823" max="2823" width="5.8515625" style="1" customWidth="1"/>
    <col min="2824" max="2824" width="11.28125" style="1" customWidth="1"/>
    <col min="2825" max="2825" width="12.00390625" style="1" customWidth="1"/>
    <col min="2826" max="2826" width="10.28125" style="1" customWidth="1"/>
    <col min="2827" max="2827" width="12.00390625" style="1" customWidth="1"/>
    <col min="2828" max="2828" width="12.28125" style="1" customWidth="1"/>
    <col min="2829" max="2829" width="11.7109375" style="1" customWidth="1"/>
    <col min="2830" max="2840" width="12.140625" style="1" customWidth="1"/>
    <col min="2841" max="2890" width="12.140625" style="1" hidden="1" customWidth="1"/>
    <col min="2891" max="3072" width="12.140625" style="1" customWidth="1"/>
    <col min="3073" max="3073" width="4.00390625" style="1" customWidth="1"/>
    <col min="3074" max="3074" width="14.28125" style="1" customWidth="1"/>
    <col min="3075" max="3075" width="62.421875" style="1" customWidth="1"/>
    <col min="3076" max="3076" width="15.8515625" style="1" customWidth="1"/>
    <col min="3077" max="3077" width="10.8515625" style="1" customWidth="1"/>
    <col min="3078" max="3078" width="75.57421875" style="1" customWidth="1"/>
    <col min="3079" max="3079" width="5.8515625" style="1" customWidth="1"/>
    <col min="3080" max="3080" width="11.28125" style="1" customWidth="1"/>
    <col min="3081" max="3081" width="12.00390625" style="1" customWidth="1"/>
    <col min="3082" max="3082" width="10.28125" style="1" customWidth="1"/>
    <col min="3083" max="3083" width="12.00390625" style="1" customWidth="1"/>
    <col min="3084" max="3084" width="12.28125" style="1" customWidth="1"/>
    <col min="3085" max="3085" width="11.7109375" style="1" customWidth="1"/>
    <col min="3086" max="3096" width="12.140625" style="1" customWidth="1"/>
    <col min="3097" max="3146" width="12.140625" style="1" hidden="1" customWidth="1"/>
    <col min="3147" max="3328" width="12.140625" style="1" customWidth="1"/>
    <col min="3329" max="3329" width="4.00390625" style="1" customWidth="1"/>
    <col min="3330" max="3330" width="14.28125" style="1" customWidth="1"/>
    <col min="3331" max="3331" width="62.421875" style="1" customWidth="1"/>
    <col min="3332" max="3332" width="15.8515625" style="1" customWidth="1"/>
    <col min="3333" max="3333" width="10.8515625" style="1" customWidth="1"/>
    <col min="3334" max="3334" width="75.57421875" style="1" customWidth="1"/>
    <col min="3335" max="3335" width="5.8515625" style="1" customWidth="1"/>
    <col min="3336" max="3336" width="11.28125" style="1" customWidth="1"/>
    <col min="3337" max="3337" width="12.00390625" style="1" customWidth="1"/>
    <col min="3338" max="3338" width="10.28125" style="1" customWidth="1"/>
    <col min="3339" max="3339" width="12.00390625" style="1" customWidth="1"/>
    <col min="3340" max="3340" width="12.28125" style="1" customWidth="1"/>
    <col min="3341" max="3341" width="11.7109375" style="1" customWidth="1"/>
    <col min="3342" max="3352" width="12.140625" style="1" customWidth="1"/>
    <col min="3353" max="3402" width="12.140625" style="1" hidden="1" customWidth="1"/>
    <col min="3403" max="3584" width="12.140625" style="1" customWidth="1"/>
    <col min="3585" max="3585" width="4.00390625" style="1" customWidth="1"/>
    <col min="3586" max="3586" width="14.28125" style="1" customWidth="1"/>
    <col min="3587" max="3587" width="62.421875" style="1" customWidth="1"/>
    <col min="3588" max="3588" width="15.8515625" style="1" customWidth="1"/>
    <col min="3589" max="3589" width="10.8515625" style="1" customWidth="1"/>
    <col min="3590" max="3590" width="75.57421875" style="1" customWidth="1"/>
    <col min="3591" max="3591" width="5.8515625" style="1" customWidth="1"/>
    <col min="3592" max="3592" width="11.28125" style="1" customWidth="1"/>
    <col min="3593" max="3593" width="12.00390625" style="1" customWidth="1"/>
    <col min="3594" max="3594" width="10.28125" style="1" customWidth="1"/>
    <col min="3595" max="3595" width="12.00390625" style="1" customWidth="1"/>
    <col min="3596" max="3596" width="12.28125" style="1" customWidth="1"/>
    <col min="3597" max="3597" width="11.7109375" style="1" customWidth="1"/>
    <col min="3598" max="3608" width="12.140625" style="1" customWidth="1"/>
    <col min="3609" max="3658" width="12.140625" style="1" hidden="1" customWidth="1"/>
    <col min="3659" max="3840" width="12.140625" style="1" customWidth="1"/>
    <col min="3841" max="3841" width="4.00390625" style="1" customWidth="1"/>
    <col min="3842" max="3842" width="14.28125" style="1" customWidth="1"/>
    <col min="3843" max="3843" width="62.421875" style="1" customWidth="1"/>
    <col min="3844" max="3844" width="15.8515625" style="1" customWidth="1"/>
    <col min="3845" max="3845" width="10.8515625" style="1" customWidth="1"/>
    <col min="3846" max="3846" width="75.57421875" style="1" customWidth="1"/>
    <col min="3847" max="3847" width="5.8515625" style="1" customWidth="1"/>
    <col min="3848" max="3848" width="11.28125" style="1" customWidth="1"/>
    <col min="3849" max="3849" width="12.00390625" style="1" customWidth="1"/>
    <col min="3850" max="3850" width="10.28125" style="1" customWidth="1"/>
    <col min="3851" max="3851" width="12.00390625" style="1" customWidth="1"/>
    <col min="3852" max="3852" width="12.28125" style="1" customWidth="1"/>
    <col min="3853" max="3853" width="11.7109375" style="1" customWidth="1"/>
    <col min="3854" max="3864" width="12.140625" style="1" customWidth="1"/>
    <col min="3865" max="3914" width="12.140625" style="1" hidden="1" customWidth="1"/>
    <col min="3915" max="4096" width="12.140625" style="1" customWidth="1"/>
    <col min="4097" max="4097" width="4.00390625" style="1" customWidth="1"/>
    <col min="4098" max="4098" width="14.28125" style="1" customWidth="1"/>
    <col min="4099" max="4099" width="62.421875" style="1" customWidth="1"/>
    <col min="4100" max="4100" width="15.8515625" style="1" customWidth="1"/>
    <col min="4101" max="4101" width="10.8515625" style="1" customWidth="1"/>
    <col min="4102" max="4102" width="75.57421875" style="1" customWidth="1"/>
    <col min="4103" max="4103" width="5.8515625" style="1" customWidth="1"/>
    <col min="4104" max="4104" width="11.28125" style="1" customWidth="1"/>
    <col min="4105" max="4105" width="12.00390625" style="1" customWidth="1"/>
    <col min="4106" max="4106" width="10.28125" style="1" customWidth="1"/>
    <col min="4107" max="4107" width="12.00390625" style="1" customWidth="1"/>
    <col min="4108" max="4108" width="12.28125" style="1" customWidth="1"/>
    <col min="4109" max="4109" width="11.7109375" style="1" customWidth="1"/>
    <col min="4110" max="4120" width="12.140625" style="1" customWidth="1"/>
    <col min="4121" max="4170" width="12.140625" style="1" hidden="1" customWidth="1"/>
    <col min="4171" max="4352" width="12.140625" style="1" customWidth="1"/>
    <col min="4353" max="4353" width="4.00390625" style="1" customWidth="1"/>
    <col min="4354" max="4354" width="14.28125" style="1" customWidth="1"/>
    <col min="4355" max="4355" width="62.421875" style="1" customWidth="1"/>
    <col min="4356" max="4356" width="15.8515625" style="1" customWidth="1"/>
    <col min="4357" max="4357" width="10.8515625" style="1" customWidth="1"/>
    <col min="4358" max="4358" width="75.57421875" style="1" customWidth="1"/>
    <col min="4359" max="4359" width="5.8515625" style="1" customWidth="1"/>
    <col min="4360" max="4360" width="11.28125" style="1" customWidth="1"/>
    <col min="4361" max="4361" width="12.00390625" style="1" customWidth="1"/>
    <col min="4362" max="4362" width="10.28125" style="1" customWidth="1"/>
    <col min="4363" max="4363" width="12.00390625" style="1" customWidth="1"/>
    <col min="4364" max="4364" width="12.28125" style="1" customWidth="1"/>
    <col min="4365" max="4365" width="11.7109375" style="1" customWidth="1"/>
    <col min="4366" max="4376" width="12.140625" style="1" customWidth="1"/>
    <col min="4377" max="4426" width="12.140625" style="1" hidden="1" customWidth="1"/>
    <col min="4427" max="4608" width="12.140625" style="1" customWidth="1"/>
    <col min="4609" max="4609" width="4.00390625" style="1" customWidth="1"/>
    <col min="4610" max="4610" width="14.28125" style="1" customWidth="1"/>
    <col min="4611" max="4611" width="62.421875" style="1" customWidth="1"/>
    <col min="4612" max="4612" width="15.8515625" style="1" customWidth="1"/>
    <col min="4613" max="4613" width="10.8515625" style="1" customWidth="1"/>
    <col min="4614" max="4614" width="75.57421875" style="1" customWidth="1"/>
    <col min="4615" max="4615" width="5.8515625" style="1" customWidth="1"/>
    <col min="4616" max="4616" width="11.28125" style="1" customWidth="1"/>
    <col min="4617" max="4617" width="12.00390625" style="1" customWidth="1"/>
    <col min="4618" max="4618" width="10.28125" style="1" customWidth="1"/>
    <col min="4619" max="4619" width="12.00390625" style="1" customWidth="1"/>
    <col min="4620" max="4620" width="12.28125" style="1" customWidth="1"/>
    <col min="4621" max="4621" width="11.7109375" style="1" customWidth="1"/>
    <col min="4622" max="4632" width="12.140625" style="1" customWidth="1"/>
    <col min="4633" max="4682" width="12.140625" style="1" hidden="1" customWidth="1"/>
    <col min="4683" max="4864" width="12.140625" style="1" customWidth="1"/>
    <col min="4865" max="4865" width="4.00390625" style="1" customWidth="1"/>
    <col min="4866" max="4866" width="14.28125" style="1" customWidth="1"/>
    <col min="4867" max="4867" width="62.421875" style="1" customWidth="1"/>
    <col min="4868" max="4868" width="15.8515625" style="1" customWidth="1"/>
    <col min="4869" max="4869" width="10.8515625" style="1" customWidth="1"/>
    <col min="4870" max="4870" width="75.57421875" style="1" customWidth="1"/>
    <col min="4871" max="4871" width="5.8515625" style="1" customWidth="1"/>
    <col min="4872" max="4872" width="11.28125" style="1" customWidth="1"/>
    <col min="4873" max="4873" width="12.00390625" style="1" customWidth="1"/>
    <col min="4874" max="4874" width="10.28125" style="1" customWidth="1"/>
    <col min="4875" max="4875" width="12.00390625" style="1" customWidth="1"/>
    <col min="4876" max="4876" width="12.28125" style="1" customWidth="1"/>
    <col min="4877" max="4877" width="11.7109375" style="1" customWidth="1"/>
    <col min="4878" max="4888" width="12.140625" style="1" customWidth="1"/>
    <col min="4889" max="4938" width="12.140625" style="1" hidden="1" customWidth="1"/>
    <col min="4939" max="5120" width="12.140625" style="1" customWidth="1"/>
    <col min="5121" max="5121" width="4.00390625" style="1" customWidth="1"/>
    <col min="5122" max="5122" width="14.28125" style="1" customWidth="1"/>
    <col min="5123" max="5123" width="62.421875" style="1" customWidth="1"/>
    <col min="5124" max="5124" width="15.8515625" style="1" customWidth="1"/>
    <col min="5125" max="5125" width="10.8515625" style="1" customWidth="1"/>
    <col min="5126" max="5126" width="75.57421875" style="1" customWidth="1"/>
    <col min="5127" max="5127" width="5.8515625" style="1" customWidth="1"/>
    <col min="5128" max="5128" width="11.28125" style="1" customWidth="1"/>
    <col min="5129" max="5129" width="12.00390625" style="1" customWidth="1"/>
    <col min="5130" max="5130" width="10.28125" style="1" customWidth="1"/>
    <col min="5131" max="5131" width="12.00390625" style="1" customWidth="1"/>
    <col min="5132" max="5132" width="12.28125" style="1" customWidth="1"/>
    <col min="5133" max="5133" width="11.7109375" style="1" customWidth="1"/>
    <col min="5134" max="5144" width="12.140625" style="1" customWidth="1"/>
    <col min="5145" max="5194" width="12.140625" style="1" hidden="1" customWidth="1"/>
    <col min="5195" max="5376" width="12.140625" style="1" customWidth="1"/>
    <col min="5377" max="5377" width="4.00390625" style="1" customWidth="1"/>
    <col min="5378" max="5378" width="14.28125" style="1" customWidth="1"/>
    <col min="5379" max="5379" width="62.421875" style="1" customWidth="1"/>
    <col min="5380" max="5380" width="15.8515625" style="1" customWidth="1"/>
    <col min="5381" max="5381" width="10.8515625" style="1" customWidth="1"/>
    <col min="5382" max="5382" width="75.57421875" style="1" customWidth="1"/>
    <col min="5383" max="5383" width="5.8515625" style="1" customWidth="1"/>
    <col min="5384" max="5384" width="11.28125" style="1" customWidth="1"/>
    <col min="5385" max="5385" width="12.00390625" style="1" customWidth="1"/>
    <col min="5386" max="5386" width="10.28125" style="1" customWidth="1"/>
    <col min="5387" max="5387" width="12.00390625" style="1" customWidth="1"/>
    <col min="5388" max="5388" width="12.28125" style="1" customWidth="1"/>
    <col min="5389" max="5389" width="11.7109375" style="1" customWidth="1"/>
    <col min="5390" max="5400" width="12.140625" style="1" customWidth="1"/>
    <col min="5401" max="5450" width="12.140625" style="1" hidden="1" customWidth="1"/>
    <col min="5451" max="5632" width="12.140625" style="1" customWidth="1"/>
    <col min="5633" max="5633" width="4.00390625" style="1" customWidth="1"/>
    <col min="5634" max="5634" width="14.28125" style="1" customWidth="1"/>
    <col min="5635" max="5635" width="62.421875" style="1" customWidth="1"/>
    <col min="5636" max="5636" width="15.8515625" style="1" customWidth="1"/>
    <col min="5637" max="5637" width="10.8515625" style="1" customWidth="1"/>
    <col min="5638" max="5638" width="75.57421875" style="1" customWidth="1"/>
    <col min="5639" max="5639" width="5.8515625" style="1" customWidth="1"/>
    <col min="5640" max="5640" width="11.28125" style="1" customWidth="1"/>
    <col min="5641" max="5641" width="12.00390625" style="1" customWidth="1"/>
    <col min="5642" max="5642" width="10.28125" style="1" customWidth="1"/>
    <col min="5643" max="5643" width="12.00390625" style="1" customWidth="1"/>
    <col min="5644" max="5644" width="12.28125" style="1" customWidth="1"/>
    <col min="5645" max="5645" width="11.7109375" style="1" customWidth="1"/>
    <col min="5646" max="5656" width="12.140625" style="1" customWidth="1"/>
    <col min="5657" max="5706" width="12.140625" style="1" hidden="1" customWidth="1"/>
    <col min="5707" max="5888" width="12.140625" style="1" customWidth="1"/>
    <col min="5889" max="5889" width="4.00390625" style="1" customWidth="1"/>
    <col min="5890" max="5890" width="14.28125" style="1" customWidth="1"/>
    <col min="5891" max="5891" width="62.421875" style="1" customWidth="1"/>
    <col min="5892" max="5892" width="15.8515625" style="1" customWidth="1"/>
    <col min="5893" max="5893" width="10.8515625" style="1" customWidth="1"/>
    <col min="5894" max="5894" width="75.57421875" style="1" customWidth="1"/>
    <col min="5895" max="5895" width="5.8515625" style="1" customWidth="1"/>
    <col min="5896" max="5896" width="11.28125" style="1" customWidth="1"/>
    <col min="5897" max="5897" width="12.00390625" style="1" customWidth="1"/>
    <col min="5898" max="5898" width="10.28125" style="1" customWidth="1"/>
    <col min="5899" max="5899" width="12.00390625" style="1" customWidth="1"/>
    <col min="5900" max="5900" width="12.28125" style="1" customWidth="1"/>
    <col min="5901" max="5901" width="11.7109375" style="1" customWidth="1"/>
    <col min="5902" max="5912" width="12.140625" style="1" customWidth="1"/>
    <col min="5913" max="5962" width="12.140625" style="1" hidden="1" customWidth="1"/>
    <col min="5963" max="6144" width="12.140625" style="1" customWidth="1"/>
    <col min="6145" max="6145" width="4.00390625" style="1" customWidth="1"/>
    <col min="6146" max="6146" width="14.28125" style="1" customWidth="1"/>
    <col min="6147" max="6147" width="62.421875" style="1" customWidth="1"/>
    <col min="6148" max="6148" width="15.8515625" style="1" customWidth="1"/>
    <col min="6149" max="6149" width="10.8515625" style="1" customWidth="1"/>
    <col min="6150" max="6150" width="75.57421875" style="1" customWidth="1"/>
    <col min="6151" max="6151" width="5.8515625" style="1" customWidth="1"/>
    <col min="6152" max="6152" width="11.28125" style="1" customWidth="1"/>
    <col min="6153" max="6153" width="12.00390625" style="1" customWidth="1"/>
    <col min="6154" max="6154" width="10.28125" style="1" customWidth="1"/>
    <col min="6155" max="6155" width="12.00390625" style="1" customWidth="1"/>
    <col min="6156" max="6156" width="12.28125" style="1" customWidth="1"/>
    <col min="6157" max="6157" width="11.7109375" style="1" customWidth="1"/>
    <col min="6158" max="6168" width="12.140625" style="1" customWidth="1"/>
    <col min="6169" max="6218" width="12.140625" style="1" hidden="1" customWidth="1"/>
    <col min="6219" max="6400" width="12.140625" style="1" customWidth="1"/>
    <col min="6401" max="6401" width="4.00390625" style="1" customWidth="1"/>
    <col min="6402" max="6402" width="14.28125" style="1" customWidth="1"/>
    <col min="6403" max="6403" width="62.421875" style="1" customWidth="1"/>
    <col min="6404" max="6404" width="15.8515625" style="1" customWidth="1"/>
    <col min="6405" max="6405" width="10.8515625" style="1" customWidth="1"/>
    <col min="6406" max="6406" width="75.57421875" style="1" customWidth="1"/>
    <col min="6407" max="6407" width="5.8515625" style="1" customWidth="1"/>
    <col min="6408" max="6408" width="11.28125" style="1" customWidth="1"/>
    <col min="6409" max="6409" width="12.00390625" style="1" customWidth="1"/>
    <col min="6410" max="6410" width="10.28125" style="1" customWidth="1"/>
    <col min="6411" max="6411" width="12.00390625" style="1" customWidth="1"/>
    <col min="6412" max="6412" width="12.28125" style="1" customWidth="1"/>
    <col min="6413" max="6413" width="11.7109375" style="1" customWidth="1"/>
    <col min="6414" max="6424" width="12.140625" style="1" customWidth="1"/>
    <col min="6425" max="6474" width="12.140625" style="1" hidden="1" customWidth="1"/>
    <col min="6475" max="6656" width="12.140625" style="1" customWidth="1"/>
    <col min="6657" max="6657" width="4.00390625" style="1" customWidth="1"/>
    <col min="6658" max="6658" width="14.28125" style="1" customWidth="1"/>
    <col min="6659" max="6659" width="62.421875" style="1" customWidth="1"/>
    <col min="6660" max="6660" width="15.8515625" style="1" customWidth="1"/>
    <col min="6661" max="6661" width="10.8515625" style="1" customWidth="1"/>
    <col min="6662" max="6662" width="75.57421875" style="1" customWidth="1"/>
    <col min="6663" max="6663" width="5.8515625" style="1" customWidth="1"/>
    <col min="6664" max="6664" width="11.28125" style="1" customWidth="1"/>
    <col min="6665" max="6665" width="12.00390625" style="1" customWidth="1"/>
    <col min="6666" max="6666" width="10.28125" style="1" customWidth="1"/>
    <col min="6667" max="6667" width="12.00390625" style="1" customWidth="1"/>
    <col min="6668" max="6668" width="12.28125" style="1" customWidth="1"/>
    <col min="6669" max="6669" width="11.7109375" style="1" customWidth="1"/>
    <col min="6670" max="6680" width="12.140625" style="1" customWidth="1"/>
    <col min="6681" max="6730" width="12.140625" style="1" hidden="1" customWidth="1"/>
    <col min="6731" max="6912" width="12.140625" style="1" customWidth="1"/>
    <col min="6913" max="6913" width="4.00390625" style="1" customWidth="1"/>
    <col min="6914" max="6914" width="14.28125" style="1" customWidth="1"/>
    <col min="6915" max="6915" width="62.421875" style="1" customWidth="1"/>
    <col min="6916" max="6916" width="15.8515625" style="1" customWidth="1"/>
    <col min="6917" max="6917" width="10.8515625" style="1" customWidth="1"/>
    <col min="6918" max="6918" width="75.57421875" style="1" customWidth="1"/>
    <col min="6919" max="6919" width="5.8515625" style="1" customWidth="1"/>
    <col min="6920" max="6920" width="11.28125" style="1" customWidth="1"/>
    <col min="6921" max="6921" width="12.00390625" style="1" customWidth="1"/>
    <col min="6922" max="6922" width="10.28125" style="1" customWidth="1"/>
    <col min="6923" max="6923" width="12.00390625" style="1" customWidth="1"/>
    <col min="6924" max="6924" width="12.28125" style="1" customWidth="1"/>
    <col min="6925" max="6925" width="11.7109375" style="1" customWidth="1"/>
    <col min="6926" max="6936" width="12.140625" style="1" customWidth="1"/>
    <col min="6937" max="6986" width="12.140625" style="1" hidden="1" customWidth="1"/>
    <col min="6987" max="7168" width="12.140625" style="1" customWidth="1"/>
    <col min="7169" max="7169" width="4.00390625" style="1" customWidth="1"/>
    <col min="7170" max="7170" width="14.28125" style="1" customWidth="1"/>
    <col min="7171" max="7171" width="62.421875" style="1" customWidth="1"/>
    <col min="7172" max="7172" width="15.8515625" style="1" customWidth="1"/>
    <col min="7173" max="7173" width="10.8515625" style="1" customWidth="1"/>
    <col min="7174" max="7174" width="75.57421875" style="1" customWidth="1"/>
    <col min="7175" max="7175" width="5.8515625" style="1" customWidth="1"/>
    <col min="7176" max="7176" width="11.28125" style="1" customWidth="1"/>
    <col min="7177" max="7177" width="12.00390625" style="1" customWidth="1"/>
    <col min="7178" max="7178" width="10.28125" style="1" customWidth="1"/>
    <col min="7179" max="7179" width="12.00390625" style="1" customWidth="1"/>
    <col min="7180" max="7180" width="12.28125" style="1" customWidth="1"/>
    <col min="7181" max="7181" width="11.7109375" style="1" customWidth="1"/>
    <col min="7182" max="7192" width="12.140625" style="1" customWidth="1"/>
    <col min="7193" max="7242" width="12.140625" style="1" hidden="1" customWidth="1"/>
    <col min="7243" max="7424" width="12.140625" style="1" customWidth="1"/>
    <col min="7425" max="7425" width="4.00390625" style="1" customWidth="1"/>
    <col min="7426" max="7426" width="14.28125" style="1" customWidth="1"/>
    <col min="7427" max="7427" width="62.421875" style="1" customWidth="1"/>
    <col min="7428" max="7428" width="15.8515625" style="1" customWidth="1"/>
    <col min="7429" max="7429" width="10.8515625" style="1" customWidth="1"/>
    <col min="7430" max="7430" width="75.57421875" style="1" customWidth="1"/>
    <col min="7431" max="7431" width="5.8515625" style="1" customWidth="1"/>
    <col min="7432" max="7432" width="11.28125" style="1" customWidth="1"/>
    <col min="7433" max="7433" width="12.00390625" style="1" customWidth="1"/>
    <col min="7434" max="7434" width="10.28125" style="1" customWidth="1"/>
    <col min="7435" max="7435" width="12.00390625" style="1" customWidth="1"/>
    <col min="7436" max="7436" width="12.28125" style="1" customWidth="1"/>
    <col min="7437" max="7437" width="11.7109375" style="1" customWidth="1"/>
    <col min="7438" max="7448" width="12.140625" style="1" customWidth="1"/>
    <col min="7449" max="7498" width="12.140625" style="1" hidden="1" customWidth="1"/>
    <col min="7499" max="7680" width="12.140625" style="1" customWidth="1"/>
    <col min="7681" max="7681" width="4.00390625" style="1" customWidth="1"/>
    <col min="7682" max="7682" width="14.28125" style="1" customWidth="1"/>
    <col min="7683" max="7683" width="62.421875" style="1" customWidth="1"/>
    <col min="7684" max="7684" width="15.8515625" style="1" customWidth="1"/>
    <col min="7685" max="7685" width="10.8515625" style="1" customWidth="1"/>
    <col min="7686" max="7686" width="75.57421875" style="1" customWidth="1"/>
    <col min="7687" max="7687" width="5.8515625" style="1" customWidth="1"/>
    <col min="7688" max="7688" width="11.28125" style="1" customWidth="1"/>
    <col min="7689" max="7689" width="12.00390625" style="1" customWidth="1"/>
    <col min="7690" max="7690" width="10.28125" style="1" customWidth="1"/>
    <col min="7691" max="7691" width="12.00390625" style="1" customWidth="1"/>
    <col min="7692" max="7692" width="12.28125" style="1" customWidth="1"/>
    <col min="7693" max="7693" width="11.7109375" style="1" customWidth="1"/>
    <col min="7694" max="7704" width="12.140625" style="1" customWidth="1"/>
    <col min="7705" max="7754" width="12.140625" style="1" hidden="1" customWidth="1"/>
    <col min="7755" max="7936" width="12.140625" style="1" customWidth="1"/>
    <col min="7937" max="7937" width="4.00390625" style="1" customWidth="1"/>
    <col min="7938" max="7938" width="14.28125" style="1" customWidth="1"/>
    <col min="7939" max="7939" width="62.421875" style="1" customWidth="1"/>
    <col min="7940" max="7940" width="15.8515625" style="1" customWidth="1"/>
    <col min="7941" max="7941" width="10.8515625" style="1" customWidth="1"/>
    <col min="7942" max="7942" width="75.57421875" style="1" customWidth="1"/>
    <col min="7943" max="7943" width="5.8515625" style="1" customWidth="1"/>
    <col min="7944" max="7944" width="11.28125" style="1" customWidth="1"/>
    <col min="7945" max="7945" width="12.00390625" style="1" customWidth="1"/>
    <col min="7946" max="7946" width="10.28125" style="1" customWidth="1"/>
    <col min="7947" max="7947" width="12.00390625" style="1" customWidth="1"/>
    <col min="7948" max="7948" width="12.28125" style="1" customWidth="1"/>
    <col min="7949" max="7949" width="11.7109375" style="1" customWidth="1"/>
    <col min="7950" max="7960" width="12.140625" style="1" customWidth="1"/>
    <col min="7961" max="8010" width="12.140625" style="1" hidden="1" customWidth="1"/>
    <col min="8011" max="8192" width="12.140625" style="1" customWidth="1"/>
    <col min="8193" max="8193" width="4.00390625" style="1" customWidth="1"/>
    <col min="8194" max="8194" width="14.28125" style="1" customWidth="1"/>
    <col min="8195" max="8195" width="62.421875" style="1" customWidth="1"/>
    <col min="8196" max="8196" width="15.8515625" style="1" customWidth="1"/>
    <col min="8197" max="8197" width="10.8515625" style="1" customWidth="1"/>
    <col min="8198" max="8198" width="75.57421875" style="1" customWidth="1"/>
    <col min="8199" max="8199" width="5.8515625" style="1" customWidth="1"/>
    <col min="8200" max="8200" width="11.28125" style="1" customWidth="1"/>
    <col min="8201" max="8201" width="12.00390625" style="1" customWidth="1"/>
    <col min="8202" max="8202" width="10.28125" style="1" customWidth="1"/>
    <col min="8203" max="8203" width="12.00390625" style="1" customWidth="1"/>
    <col min="8204" max="8204" width="12.28125" style="1" customWidth="1"/>
    <col min="8205" max="8205" width="11.7109375" style="1" customWidth="1"/>
    <col min="8206" max="8216" width="12.140625" style="1" customWidth="1"/>
    <col min="8217" max="8266" width="12.140625" style="1" hidden="1" customWidth="1"/>
    <col min="8267" max="8448" width="12.140625" style="1" customWidth="1"/>
    <col min="8449" max="8449" width="4.00390625" style="1" customWidth="1"/>
    <col min="8450" max="8450" width="14.28125" style="1" customWidth="1"/>
    <col min="8451" max="8451" width="62.421875" style="1" customWidth="1"/>
    <col min="8452" max="8452" width="15.8515625" style="1" customWidth="1"/>
    <col min="8453" max="8453" width="10.8515625" style="1" customWidth="1"/>
    <col min="8454" max="8454" width="75.57421875" style="1" customWidth="1"/>
    <col min="8455" max="8455" width="5.8515625" style="1" customWidth="1"/>
    <col min="8456" max="8456" width="11.28125" style="1" customWidth="1"/>
    <col min="8457" max="8457" width="12.00390625" style="1" customWidth="1"/>
    <col min="8458" max="8458" width="10.28125" style="1" customWidth="1"/>
    <col min="8459" max="8459" width="12.00390625" style="1" customWidth="1"/>
    <col min="8460" max="8460" width="12.28125" style="1" customWidth="1"/>
    <col min="8461" max="8461" width="11.7109375" style="1" customWidth="1"/>
    <col min="8462" max="8472" width="12.140625" style="1" customWidth="1"/>
    <col min="8473" max="8522" width="12.140625" style="1" hidden="1" customWidth="1"/>
    <col min="8523" max="8704" width="12.140625" style="1" customWidth="1"/>
    <col min="8705" max="8705" width="4.00390625" style="1" customWidth="1"/>
    <col min="8706" max="8706" width="14.28125" style="1" customWidth="1"/>
    <col min="8707" max="8707" width="62.421875" style="1" customWidth="1"/>
    <col min="8708" max="8708" width="15.8515625" style="1" customWidth="1"/>
    <col min="8709" max="8709" width="10.8515625" style="1" customWidth="1"/>
    <col min="8710" max="8710" width="75.57421875" style="1" customWidth="1"/>
    <col min="8711" max="8711" width="5.8515625" style="1" customWidth="1"/>
    <col min="8712" max="8712" width="11.28125" style="1" customWidth="1"/>
    <col min="8713" max="8713" width="12.00390625" style="1" customWidth="1"/>
    <col min="8714" max="8714" width="10.28125" style="1" customWidth="1"/>
    <col min="8715" max="8715" width="12.00390625" style="1" customWidth="1"/>
    <col min="8716" max="8716" width="12.28125" style="1" customWidth="1"/>
    <col min="8717" max="8717" width="11.7109375" style="1" customWidth="1"/>
    <col min="8718" max="8728" width="12.140625" style="1" customWidth="1"/>
    <col min="8729" max="8778" width="12.140625" style="1" hidden="1" customWidth="1"/>
    <col min="8779" max="8960" width="12.140625" style="1" customWidth="1"/>
    <col min="8961" max="8961" width="4.00390625" style="1" customWidth="1"/>
    <col min="8962" max="8962" width="14.28125" style="1" customWidth="1"/>
    <col min="8963" max="8963" width="62.421875" style="1" customWidth="1"/>
    <col min="8964" max="8964" width="15.8515625" style="1" customWidth="1"/>
    <col min="8965" max="8965" width="10.8515625" style="1" customWidth="1"/>
    <col min="8966" max="8966" width="75.57421875" style="1" customWidth="1"/>
    <col min="8967" max="8967" width="5.8515625" style="1" customWidth="1"/>
    <col min="8968" max="8968" width="11.28125" style="1" customWidth="1"/>
    <col min="8969" max="8969" width="12.00390625" style="1" customWidth="1"/>
    <col min="8970" max="8970" width="10.28125" style="1" customWidth="1"/>
    <col min="8971" max="8971" width="12.00390625" style="1" customWidth="1"/>
    <col min="8972" max="8972" width="12.28125" style="1" customWidth="1"/>
    <col min="8973" max="8973" width="11.7109375" style="1" customWidth="1"/>
    <col min="8974" max="8984" width="12.140625" style="1" customWidth="1"/>
    <col min="8985" max="9034" width="12.140625" style="1" hidden="1" customWidth="1"/>
    <col min="9035" max="9216" width="12.140625" style="1" customWidth="1"/>
    <col min="9217" max="9217" width="4.00390625" style="1" customWidth="1"/>
    <col min="9218" max="9218" width="14.28125" style="1" customWidth="1"/>
    <col min="9219" max="9219" width="62.421875" style="1" customWidth="1"/>
    <col min="9220" max="9220" width="15.8515625" style="1" customWidth="1"/>
    <col min="9221" max="9221" width="10.8515625" style="1" customWidth="1"/>
    <col min="9222" max="9222" width="75.57421875" style="1" customWidth="1"/>
    <col min="9223" max="9223" width="5.8515625" style="1" customWidth="1"/>
    <col min="9224" max="9224" width="11.28125" style="1" customWidth="1"/>
    <col min="9225" max="9225" width="12.00390625" style="1" customWidth="1"/>
    <col min="9226" max="9226" width="10.28125" style="1" customWidth="1"/>
    <col min="9227" max="9227" width="12.00390625" style="1" customWidth="1"/>
    <col min="9228" max="9228" width="12.28125" style="1" customWidth="1"/>
    <col min="9229" max="9229" width="11.7109375" style="1" customWidth="1"/>
    <col min="9230" max="9240" width="12.140625" style="1" customWidth="1"/>
    <col min="9241" max="9290" width="12.140625" style="1" hidden="1" customWidth="1"/>
    <col min="9291" max="9472" width="12.140625" style="1" customWidth="1"/>
    <col min="9473" max="9473" width="4.00390625" style="1" customWidth="1"/>
    <col min="9474" max="9474" width="14.28125" style="1" customWidth="1"/>
    <col min="9475" max="9475" width="62.421875" style="1" customWidth="1"/>
    <col min="9476" max="9476" width="15.8515625" style="1" customWidth="1"/>
    <col min="9477" max="9477" width="10.8515625" style="1" customWidth="1"/>
    <col min="9478" max="9478" width="75.57421875" style="1" customWidth="1"/>
    <col min="9479" max="9479" width="5.8515625" style="1" customWidth="1"/>
    <col min="9480" max="9480" width="11.28125" style="1" customWidth="1"/>
    <col min="9481" max="9481" width="12.00390625" style="1" customWidth="1"/>
    <col min="9482" max="9482" width="10.28125" style="1" customWidth="1"/>
    <col min="9483" max="9483" width="12.00390625" style="1" customWidth="1"/>
    <col min="9484" max="9484" width="12.28125" style="1" customWidth="1"/>
    <col min="9485" max="9485" width="11.7109375" style="1" customWidth="1"/>
    <col min="9486" max="9496" width="12.140625" style="1" customWidth="1"/>
    <col min="9497" max="9546" width="12.140625" style="1" hidden="1" customWidth="1"/>
    <col min="9547" max="9728" width="12.140625" style="1" customWidth="1"/>
    <col min="9729" max="9729" width="4.00390625" style="1" customWidth="1"/>
    <col min="9730" max="9730" width="14.28125" style="1" customWidth="1"/>
    <col min="9731" max="9731" width="62.421875" style="1" customWidth="1"/>
    <col min="9732" max="9732" width="15.8515625" style="1" customWidth="1"/>
    <col min="9733" max="9733" width="10.8515625" style="1" customWidth="1"/>
    <col min="9734" max="9734" width="75.57421875" style="1" customWidth="1"/>
    <col min="9735" max="9735" width="5.8515625" style="1" customWidth="1"/>
    <col min="9736" max="9736" width="11.28125" style="1" customWidth="1"/>
    <col min="9737" max="9737" width="12.00390625" style="1" customWidth="1"/>
    <col min="9738" max="9738" width="10.28125" style="1" customWidth="1"/>
    <col min="9739" max="9739" width="12.00390625" style="1" customWidth="1"/>
    <col min="9740" max="9740" width="12.28125" style="1" customWidth="1"/>
    <col min="9741" max="9741" width="11.7109375" style="1" customWidth="1"/>
    <col min="9742" max="9752" width="12.140625" style="1" customWidth="1"/>
    <col min="9753" max="9802" width="12.140625" style="1" hidden="1" customWidth="1"/>
    <col min="9803" max="9984" width="12.140625" style="1" customWidth="1"/>
    <col min="9985" max="9985" width="4.00390625" style="1" customWidth="1"/>
    <col min="9986" max="9986" width="14.28125" style="1" customWidth="1"/>
    <col min="9987" max="9987" width="62.421875" style="1" customWidth="1"/>
    <col min="9988" max="9988" width="15.8515625" style="1" customWidth="1"/>
    <col min="9989" max="9989" width="10.8515625" style="1" customWidth="1"/>
    <col min="9990" max="9990" width="75.57421875" style="1" customWidth="1"/>
    <col min="9991" max="9991" width="5.8515625" style="1" customWidth="1"/>
    <col min="9992" max="9992" width="11.28125" style="1" customWidth="1"/>
    <col min="9993" max="9993" width="12.00390625" style="1" customWidth="1"/>
    <col min="9994" max="9994" width="10.28125" style="1" customWidth="1"/>
    <col min="9995" max="9995" width="12.00390625" style="1" customWidth="1"/>
    <col min="9996" max="9996" width="12.28125" style="1" customWidth="1"/>
    <col min="9997" max="9997" width="11.7109375" style="1" customWidth="1"/>
    <col min="9998" max="10008" width="12.140625" style="1" customWidth="1"/>
    <col min="10009" max="10058" width="12.140625" style="1" hidden="1" customWidth="1"/>
    <col min="10059" max="10240" width="12.140625" style="1" customWidth="1"/>
    <col min="10241" max="10241" width="4.00390625" style="1" customWidth="1"/>
    <col min="10242" max="10242" width="14.28125" style="1" customWidth="1"/>
    <col min="10243" max="10243" width="62.421875" style="1" customWidth="1"/>
    <col min="10244" max="10244" width="15.8515625" style="1" customWidth="1"/>
    <col min="10245" max="10245" width="10.8515625" style="1" customWidth="1"/>
    <col min="10246" max="10246" width="75.57421875" style="1" customWidth="1"/>
    <col min="10247" max="10247" width="5.8515625" style="1" customWidth="1"/>
    <col min="10248" max="10248" width="11.28125" style="1" customWidth="1"/>
    <col min="10249" max="10249" width="12.00390625" style="1" customWidth="1"/>
    <col min="10250" max="10250" width="10.28125" style="1" customWidth="1"/>
    <col min="10251" max="10251" width="12.00390625" style="1" customWidth="1"/>
    <col min="10252" max="10252" width="12.28125" style="1" customWidth="1"/>
    <col min="10253" max="10253" width="11.7109375" style="1" customWidth="1"/>
    <col min="10254" max="10264" width="12.140625" style="1" customWidth="1"/>
    <col min="10265" max="10314" width="12.140625" style="1" hidden="1" customWidth="1"/>
    <col min="10315" max="10496" width="12.140625" style="1" customWidth="1"/>
    <col min="10497" max="10497" width="4.00390625" style="1" customWidth="1"/>
    <col min="10498" max="10498" width="14.28125" style="1" customWidth="1"/>
    <col min="10499" max="10499" width="62.421875" style="1" customWidth="1"/>
    <col min="10500" max="10500" width="15.8515625" style="1" customWidth="1"/>
    <col min="10501" max="10501" width="10.8515625" style="1" customWidth="1"/>
    <col min="10502" max="10502" width="75.57421875" style="1" customWidth="1"/>
    <col min="10503" max="10503" width="5.8515625" style="1" customWidth="1"/>
    <col min="10504" max="10504" width="11.28125" style="1" customWidth="1"/>
    <col min="10505" max="10505" width="12.00390625" style="1" customWidth="1"/>
    <col min="10506" max="10506" width="10.28125" style="1" customWidth="1"/>
    <col min="10507" max="10507" width="12.00390625" style="1" customWidth="1"/>
    <col min="10508" max="10508" width="12.28125" style="1" customWidth="1"/>
    <col min="10509" max="10509" width="11.7109375" style="1" customWidth="1"/>
    <col min="10510" max="10520" width="12.140625" style="1" customWidth="1"/>
    <col min="10521" max="10570" width="12.140625" style="1" hidden="1" customWidth="1"/>
    <col min="10571" max="10752" width="12.140625" style="1" customWidth="1"/>
    <col min="10753" max="10753" width="4.00390625" style="1" customWidth="1"/>
    <col min="10754" max="10754" width="14.28125" style="1" customWidth="1"/>
    <col min="10755" max="10755" width="62.421875" style="1" customWidth="1"/>
    <col min="10756" max="10756" width="15.8515625" style="1" customWidth="1"/>
    <col min="10757" max="10757" width="10.8515625" style="1" customWidth="1"/>
    <col min="10758" max="10758" width="75.57421875" style="1" customWidth="1"/>
    <col min="10759" max="10759" width="5.8515625" style="1" customWidth="1"/>
    <col min="10760" max="10760" width="11.28125" style="1" customWidth="1"/>
    <col min="10761" max="10761" width="12.00390625" style="1" customWidth="1"/>
    <col min="10762" max="10762" width="10.28125" style="1" customWidth="1"/>
    <col min="10763" max="10763" width="12.00390625" style="1" customWidth="1"/>
    <col min="10764" max="10764" width="12.28125" style="1" customWidth="1"/>
    <col min="10765" max="10765" width="11.7109375" style="1" customWidth="1"/>
    <col min="10766" max="10776" width="12.140625" style="1" customWidth="1"/>
    <col min="10777" max="10826" width="12.140625" style="1" hidden="1" customWidth="1"/>
    <col min="10827" max="11008" width="12.140625" style="1" customWidth="1"/>
    <col min="11009" max="11009" width="4.00390625" style="1" customWidth="1"/>
    <col min="11010" max="11010" width="14.28125" style="1" customWidth="1"/>
    <col min="11011" max="11011" width="62.421875" style="1" customWidth="1"/>
    <col min="11012" max="11012" width="15.8515625" style="1" customWidth="1"/>
    <col min="11013" max="11013" width="10.8515625" style="1" customWidth="1"/>
    <col min="11014" max="11014" width="75.57421875" style="1" customWidth="1"/>
    <col min="11015" max="11015" width="5.8515625" style="1" customWidth="1"/>
    <col min="11016" max="11016" width="11.28125" style="1" customWidth="1"/>
    <col min="11017" max="11017" width="12.00390625" style="1" customWidth="1"/>
    <col min="11018" max="11018" width="10.28125" style="1" customWidth="1"/>
    <col min="11019" max="11019" width="12.00390625" style="1" customWidth="1"/>
    <col min="11020" max="11020" width="12.28125" style="1" customWidth="1"/>
    <col min="11021" max="11021" width="11.7109375" style="1" customWidth="1"/>
    <col min="11022" max="11032" width="12.140625" style="1" customWidth="1"/>
    <col min="11033" max="11082" width="12.140625" style="1" hidden="1" customWidth="1"/>
    <col min="11083" max="11264" width="12.140625" style="1" customWidth="1"/>
    <col min="11265" max="11265" width="4.00390625" style="1" customWidth="1"/>
    <col min="11266" max="11266" width="14.28125" style="1" customWidth="1"/>
    <col min="11267" max="11267" width="62.421875" style="1" customWidth="1"/>
    <col min="11268" max="11268" width="15.8515625" style="1" customWidth="1"/>
    <col min="11269" max="11269" width="10.8515625" style="1" customWidth="1"/>
    <col min="11270" max="11270" width="75.57421875" style="1" customWidth="1"/>
    <col min="11271" max="11271" width="5.8515625" style="1" customWidth="1"/>
    <col min="11272" max="11272" width="11.28125" style="1" customWidth="1"/>
    <col min="11273" max="11273" width="12.00390625" style="1" customWidth="1"/>
    <col min="11274" max="11274" width="10.28125" style="1" customWidth="1"/>
    <col min="11275" max="11275" width="12.00390625" style="1" customWidth="1"/>
    <col min="11276" max="11276" width="12.28125" style="1" customWidth="1"/>
    <col min="11277" max="11277" width="11.7109375" style="1" customWidth="1"/>
    <col min="11278" max="11288" width="12.140625" style="1" customWidth="1"/>
    <col min="11289" max="11338" width="12.140625" style="1" hidden="1" customWidth="1"/>
    <col min="11339" max="11520" width="12.140625" style="1" customWidth="1"/>
    <col min="11521" max="11521" width="4.00390625" style="1" customWidth="1"/>
    <col min="11522" max="11522" width="14.28125" style="1" customWidth="1"/>
    <col min="11523" max="11523" width="62.421875" style="1" customWidth="1"/>
    <col min="11524" max="11524" width="15.8515625" style="1" customWidth="1"/>
    <col min="11525" max="11525" width="10.8515625" style="1" customWidth="1"/>
    <col min="11526" max="11526" width="75.57421875" style="1" customWidth="1"/>
    <col min="11527" max="11527" width="5.8515625" style="1" customWidth="1"/>
    <col min="11528" max="11528" width="11.28125" style="1" customWidth="1"/>
    <col min="11529" max="11529" width="12.00390625" style="1" customWidth="1"/>
    <col min="11530" max="11530" width="10.28125" style="1" customWidth="1"/>
    <col min="11531" max="11531" width="12.00390625" style="1" customWidth="1"/>
    <col min="11532" max="11532" width="12.28125" style="1" customWidth="1"/>
    <col min="11533" max="11533" width="11.7109375" style="1" customWidth="1"/>
    <col min="11534" max="11544" width="12.140625" style="1" customWidth="1"/>
    <col min="11545" max="11594" width="12.140625" style="1" hidden="1" customWidth="1"/>
    <col min="11595" max="11776" width="12.140625" style="1" customWidth="1"/>
    <col min="11777" max="11777" width="4.00390625" style="1" customWidth="1"/>
    <col min="11778" max="11778" width="14.28125" style="1" customWidth="1"/>
    <col min="11779" max="11779" width="62.421875" style="1" customWidth="1"/>
    <col min="11780" max="11780" width="15.8515625" style="1" customWidth="1"/>
    <col min="11781" max="11781" width="10.8515625" style="1" customWidth="1"/>
    <col min="11782" max="11782" width="75.57421875" style="1" customWidth="1"/>
    <col min="11783" max="11783" width="5.8515625" style="1" customWidth="1"/>
    <col min="11784" max="11784" width="11.28125" style="1" customWidth="1"/>
    <col min="11785" max="11785" width="12.00390625" style="1" customWidth="1"/>
    <col min="11786" max="11786" width="10.28125" style="1" customWidth="1"/>
    <col min="11787" max="11787" width="12.00390625" style="1" customWidth="1"/>
    <col min="11788" max="11788" width="12.28125" style="1" customWidth="1"/>
    <col min="11789" max="11789" width="11.7109375" style="1" customWidth="1"/>
    <col min="11790" max="11800" width="12.140625" style="1" customWidth="1"/>
    <col min="11801" max="11850" width="12.140625" style="1" hidden="1" customWidth="1"/>
    <col min="11851" max="12032" width="12.140625" style="1" customWidth="1"/>
    <col min="12033" max="12033" width="4.00390625" style="1" customWidth="1"/>
    <col min="12034" max="12034" width="14.28125" style="1" customWidth="1"/>
    <col min="12035" max="12035" width="62.421875" style="1" customWidth="1"/>
    <col min="12036" max="12036" width="15.8515625" style="1" customWidth="1"/>
    <col min="12037" max="12037" width="10.8515625" style="1" customWidth="1"/>
    <col min="12038" max="12038" width="75.57421875" style="1" customWidth="1"/>
    <col min="12039" max="12039" width="5.8515625" style="1" customWidth="1"/>
    <col min="12040" max="12040" width="11.28125" style="1" customWidth="1"/>
    <col min="12041" max="12041" width="12.00390625" style="1" customWidth="1"/>
    <col min="12042" max="12042" width="10.28125" style="1" customWidth="1"/>
    <col min="12043" max="12043" width="12.00390625" style="1" customWidth="1"/>
    <col min="12044" max="12044" width="12.28125" style="1" customWidth="1"/>
    <col min="12045" max="12045" width="11.7109375" style="1" customWidth="1"/>
    <col min="12046" max="12056" width="12.140625" style="1" customWidth="1"/>
    <col min="12057" max="12106" width="12.140625" style="1" hidden="1" customWidth="1"/>
    <col min="12107" max="12288" width="12.140625" style="1" customWidth="1"/>
    <col min="12289" max="12289" width="4.00390625" style="1" customWidth="1"/>
    <col min="12290" max="12290" width="14.28125" style="1" customWidth="1"/>
    <col min="12291" max="12291" width="62.421875" style="1" customWidth="1"/>
    <col min="12292" max="12292" width="15.8515625" style="1" customWidth="1"/>
    <col min="12293" max="12293" width="10.8515625" style="1" customWidth="1"/>
    <col min="12294" max="12294" width="75.57421875" style="1" customWidth="1"/>
    <col min="12295" max="12295" width="5.8515625" style="1" customWidth="1"/>
    <col min="12296" max="12296" width="11.28125" style="1" customWidth="1"/>
    <col min="12297" max="12297" width="12.00390625" style="1" customWidth="1"/>
    <col min="12298" max="12298" width="10.28125" style="1" customWidth="1"/>
    <col min="12299" max="12299" width="12.00390625" style="1" customWidth="1"/>
    <col min="12300" max="12300" width="12.28125" style="1" customWidth="1"/>
    <col min="12301" max="12301" width="11.7109375" style="1" customWidth="1"/>
    <col min="12302" max="12312" width="12.140625" style="1" customWidth="1"/>
    <col min="12313" max="12362" width="12.140625" style="1" hidden="1" customWidth="1"/>
    <col min="12363" max="12544" width="12.140625" style="1" customWidth="1"/>
    <col min="12545" max="12545" width="4.00390625" style="1" customWidth="1"/>
    <col min="12546" max="12546" width="14.28125" style="1" customWidth="1"/>
    <col min="12547" max="12547" width="62.421875" style="1" customWidth="1"/>
    <col min="12548" max="12548" width="15.8515625" style="1" customWidth="1"/>
    <col min="12549" max="12549" width="10.8515625" style="1" customWidth="1"/>
    <col min="12550" max="12550" width="75.57421875" style="1" customWidth="1"/>
    <col min="12551" max="12551" width="5.8515625" style="1" customWidth="1"/>
    <col min="12552" max="12552" width="11.28125" style="1" customWidth="1"/>
    <col min="12553" max="12553" width="12.00390625" style="1" customWidth="1"/>
    <col min="12554" max="12554" width="10.28125" style="1" customWidth="1"/>
    <col min="12555" max="12555" width="12.00390625" style="1" customWidth="1"/>
    <col min="12556" max="12556" width="12.28125" style="1" customWidth="1"/>
    <col min="12557" max="12557" width="11.7109375" style="1" customWidth="1"/>
    <col min="12558" max="12568" width="12.140625" style="1" customWidth="1"/>
    <col min="12569" max="12618" width="12.140625" style="1" hidden="1" customWidth="1"/>
    <col min="12619" max="12800" width="12.140625" style="1" customWidth="1"/>
    <col min="12801" max="12801" width="4.00390625" style="1" customWidth="1"/>
    <col min="12802" max="12802" width="14.28125" style="1" customWidth="1"/>
    <col min="12803" max="12803" width="62.421875" style="1" customWidth="1"/>
    <col min="12804" max="12804" width="15.8515625" style="1" customWidth="1"/>
    <col min="12805" max="12805" width="10.8515625" style="1" customWidth="1"/>
    <col min="12806" max="12806" width="75.57421875" style="1" customWidth="1"/>
    <col min="12807" max="12807" width="5.8515625" style="1" customWidth="1"/>
    <col min="12808" max="12808" width="11.28125" style="1" customWidth="1"/>
    <col min="12809" max="12809" width="12.00390625" style="1" customWidth="1"/>
    <col min="12810" max="12810" width="10.28125" style="1" customWidth="1"/>
    <col min="12811" max="12811" width="12.00390625" style="1" customWidth="1"/>
    <col min="12812" max="12812" width="12.28125" style="1" customWidth="1"/>
    <col min="12813" max="12813" width="11.7109375" style="1" customWidth="1"/>
    <col min="12814" max="12824" width="12.140625" style="1" customWidth="1"/>
    <col min="12825" max="12874" width="12.140625" style="1" hidden="1" customWidth="1"/>
    <col min="12875" max="13056" width="12.140625" style="1" customWidth="1"/>
    <col min="13057" max="13057" width="4.00390625" style="1" customWidth="1"/>
    <col min="13058" max="13058" width="14.28125" style="1" customWidth="1"/>
    <col min="13059" max="13059" width="62.421875" style="1" customWidth="1"/>
    <col min="13060" max="13060" width="15.8515625" style="1" customWidth="1"/>
    <col min="13061" max="13061" width="10.8515625" style="1" customWidth="1"/>
    <col min="13062" max="13062" width="75.57421875" style="1" customWidth="1"/>
    <col min="13063" max="13063" width="5.8515625" style="1" customWidth="1"/>
    <col min="13064" max="13064" width="11.28125" style="1" customWidth="1"/>
    <col min="13065" max="13065" width="12.00390625" style="1" customWidth="1"/>
    <col min="13066" max="13066" width="10.28125" style="1" customWidth="1"/>
    <col min="13067" max="13067" width="12.00390625" style="1" customWidth="1"/>
    <col min="13068" max="13068" width="12.28125" style="1" customWidth="1"/>
    <col min="13069" max="13069" width="11.7109375" style="1" customWidth="1"/>
    <col min="13070" max="13080" width="12.140625" style="1" customWidth="1"/>
    <col min="13081" max="13130" width="12.140625" style="1" hidden="1" customWidth="1"/>
    <col min="13131" max="13312" width="12.140625" style="1" customWidth="1"/>
    <col min="13313" max="13313" width="4.00390625" style="1" customWidth="1"/>
    <col min="13314" max="13314" width="14.28125" style="1" customWidth="1"/>
    <col min="13315" max="13315" width="62.421875" style="1" customWidth="1"/>
    <col min="13316" max="13316" width="15.8515625" style="1" customWidth="1"/>
    <col min="13317" max="13317" width="10.8515625" style="1" customWidth="1"/>
    <col min="13318" max="13318" width="75.57421875" style="1" customWidth="1"/>
    <col min="13319" max="13319" width="5.8515625" style="1" customWidth="1"/>
    <col min="13320" max="13320" width="11.28125" style="1" customWidth="1"/>
    <col min="13321" max="13321" width="12.00390625" style="1" customWidth="1"/>
    <col min="13322" max="13322" width="10.28125" style="1" customWidth="1"/>
    <col min="13323" max="13323" width="12.00390625" style="1" customWidth="1"/>
    <col min="13324" max="13324" width="12.28125" style="1" customWidth="1"/>
    <col min="13325" max="13325" width="11.7109375" style="1" customWidth="1"/>
    <col min="13326" max="13336" width="12.140625" style="1" customWidth="1"/>
    <col min="13337" max="13386" width="12.140625" style="1" hidden="1" customWidth="1"/>
    <col min="13387" max="13568" width="12.140625" style="1" customWidth="1"/>
    <col min="13569" max="13569" width="4.00390625" style="1" customWidth="1"/>
    <col min="13570" max="13570" width="14.28125" style="1" customWidth="1"/>
    <col min="13571" max="13571" width="62.421875" style="1" customWidth="1"/>
    <col min="13572" max="13572" width="15.8515625" style="1" customWidth="1"/>
    <col min="13573" max="13573" width="10.8515625" style="1" customWidth="1"/>
    <col min="13574" max="13574" width="75.57421875" style="1" customWidth="1"/>
    <col min="13575" max="13575" width="5.8515625" style="1" customWidth="1"/>
    <col min="13576" max="13576" width="11.28125" style="1" customWidth="1"/>
    <col min="13577" max="13577" width="12.00390625" style="1" customWidth="1"/>
    <col min="13578" max="13578" width="10.28125" style="1" customWidth="1"/>
    <col min="13579" max="13579" width="12.00390625" style="1" customWidth="1"/>
    <col min="13580" max="13580" width="12.28125" style="1" customWidth="1"/>
    <col min="13581" max="13581" width="11.7109375" style="1" customWidth="1"/>
    <col min="13582" max="13592" width="12.140625" style="1" customWidth="1"/>
    <col min="13593" max="13642" width="12.140625" style="1" hidden="1" customWidth="1"/>
    <col min="13643" max="13824" width="12.140625" style="1" customWidth="1"/>
    <col min="13825" max="13825" width="4.00390625" style="1" customWidth="1"/>
    <col min="13826" max="13826" width="14.28125" style="1" customWidth="1"/>
    <col min="13827" max="13827" width="62.421875" style="1" customWidth="1"/>
    <col min="13828" max="13828" width="15.8515625" style="1" customWidth="1"/>
    <col min="13829" max="13829" width="10.8515625" style="1" customWidth="1"/>
    <col min="13830" max="13830" width="75.57421875" style="1" customWidth="1"/>
    <col min="13831" max="13831" width="5.8515625" style="1" customWidth="1"/>
    <col min="13832" max="13832" width="11.28125" style="1" customWidth="1"/>
    <col min="13833" max="13833" width="12.00390625" style="1" customWidth="1"/>
    <col min="13834" max="13834" width="10.28125" style="1" customWidth="1"/>
    <col min="13835" max="13835" width="12.00390625" style="1" customWidth="1"/>
    <col min="13836" max="13836" width="12.28125" style="1" customWidth="1"/>
    <col min="13837" max="13837" width="11.7109375" style="1" customWidth="1"/>
    <col min="13838" max="13848" width="12.140625" style="1" customWidth="1"/>
    <col min="13849" max="13898" width="12.140625" style="1" hidden="1" customWidth="1"/>
    <col min="13899" max="14080" width="12.140625" style="1" customWidth="1"/>
    <col min="14081" max="14081" width="4.00390625" style="1" customWidth="1"/>
    <col min="14082" max="14082" width="14.28125" style="1" customWidth="1"/>
    <col min="14083" max="14083" width="62.421875" style="1" customWidth="1"/>
    <col min="14084" max="14084" width="15.8515625" style="1" customWidth="1"/>
    <col min="14085" max="14085" width="10.8515625" style="1" customWidth="1"/>
    <col min="14086" max="14086" width="75.57421875" style="1" customWidth="1"/>
    <col min="14087" max="14087" width="5.8515625" style="1" customWidth="1"/>
    <col min="14088" max="14088" width="11.28125" style="1" customWidth="1"/>
    <col min="14089" max="14089" width="12.00390625" style="1" customWidth="1"/>
    <col min="14090" max="14090" width="10.28125" style="1" customWidth="1"/>
    <col min="14091" max="14091" width="12.00390625" style="1" customWidth="1"/>
    <col min="14092" max="14092" width="12.28125" style="1" customWidth="1"/>
    <col min="14093" max="14093" width="11.7109375" style="1" customWidth="1"/>
    <col min="14094" max="14104" width="12.140625" style="1" customWidth="1"/>
    <col min="14105" max="14154" width="12.140625" style="1" hidden="1" customWidth="1"/>
    <col min="14155" max="14336" width="12.140625" style="1" customWidth="1"/>
    <col min="14337" max="14337" width="4.00390625" style="1" customWidth="1"/>
    <col min="14338" max="14338" width="14.28125" style="1" customWidth="1"/>
    <col min="14339" max="14339" width="62.421875" style="1" customWidth="1"/>
    <col min="14340" max="14340" width="15.8515625" style="1" customWidth="1"/>
    <col min="14341" max="14341" width="10.8515625" style="1" customWidth="1"/>
    <col min="14342" max="14342" width="75.57421875" style="1" customWidth="1"/>
    <col min="14343" max="14343" width="5.8515625" style="1" customWidth="1"/>
    <col min="14344" max="14344" width="11.28125" style="1" customWidth="1"/>
    <col min="14345" max="14345" width="12.00390625" style="1" customWidth="1"/>
    <col min="14346" max="14346" width="10.28125" style="1" customWidth="1"/>
    <col min="14347" max="14347" width="12.00390625" style="1" customWidth="1"/>
    <col min="14348" max="14348" width="12.28125" style="1" customWidth="1"/>
    <col min="14349" max="14349" width="11.7109375" style="1" customWidth="1"/>
    <col min="14350" max="14360" width="12.140625" style="1" customWidth="1"/>
    <col min="14361" max="14410" width="12.140625" style="1" hidden="1" customWidth="1"/>
    <col min="14411" max="14592" width="12.140625" style="1" customWidth="1"/>
    <col min="14593" max="14593" width="4.00390625" style="1" customWidth="1"/>
    <col min="14594" max="14594" width="14.28125" style="1" customWidth="1"/>
    <col min="14595" max="14595" width="62.421875" style="1" customWidth="1"/>
    <col min="14596" max="14596" width="15.8515625" style="1" customWidth="1"/>
    <col min="14597" max="14597" width="10.8515625" style="1" customWidth="1"/>
    <col min="14598" max="14598" width="75.57421875" style="1" customWidth="1"/>
    <col min="14599" max="14599" width="5.8515625" style="1" customWidth="1"/>
    <col min="14600" max="14600" width="11.28125" style="1" customWidth="1"/>
    <col min="14601" max="14601" width="12.00390625" style="1" customWidth="1"/>
    <col min="14602" max="14602" width="10.28125" style="1" customWidth="1"/>
    <col min="14603" max="14603" width="12.00390625" style="1" customWidth="1"/>
    <col min="14604" max="14604" width="12.28125" style="1" customWidth="1"/>
    <col min="14605" max="14605" width="11.7109375" style="1" customWidth="1"/>
    <col min="14606" max="14616" width="12.140625" style="1" customWidth="1"/>
    <col min="14617" max="14666" width="12.140625" style="1" hidden="1" customWidth="1"/>
    <col min="14667" max="14848" width="12.140625" style="1" customWidth="1"/>
    <col min="14849" max="14849" width="4.00390625" style="1" customWidth="1"/>
    <col min="14850" max="14850" width="14.28125" style="1" customWidth="1"/>
    <col min="14851" max="14851" width="62.421875" style="1" customWidth="1"/>
    <col min="14852" max="14852" width="15.8515625" style="1" customWidth="1"/>
    <col min="14853" max="14853" width="10.8515625" style="1" customWidth="1"/>
    <col min="14854" max="14854" width="75.57421875" style="1" customWidth="1"/>
    <col min="14855" max="14855" width="5.8515625" style="1" customWidth="1"/>
    <col min="14856" max="14856" width="11.28125" style="1" customWidth="1"/>
    <col min="14857" max="14857" width="12.00390625" style="1" customWidth="1"/>
    <col min="14858" max="14858" width="10.28125" style="1" customWidth="1"/>
    <col min="14859" max="14859" width="12.00390625" style="1" customWidth="1"/>
    <col min="14860" max="14860" width="12.28125" style="1" customWidth="1"/>
    <col min="14861" max="14861" width="11.7109375" style="1" customWidth="1"/>
    <col min="14862" max="14872" width="12.140625" style="1" customWidth="1"/>
    <col min="14873" max="14922" width="12.140625" style="1" hidden="1" customWidth="1"/>
    <col min="14923" max="15104" width="12.140625" style="1" customWidth="1"/>
    <col min="15105" max="15105" width="4.00390625" style="1" customWidth="1"/>
    <col min="15106" max="15106" width="14.28125" style="1" customWidth="1"/>
    <col min="15107" max="15107" width="62.421875" style="1" customWidth="1"/>
    <col min="15108" max="15108" width="15.8515625" style="1" customWidth="1"/>
    <col min="15109" max="15109" width="10.8515625" style="1" customWidth="1"/>
    <col min="15110" max="15110" width="75.57421875" style="1" customWidth="1"/>
    <col min="15111" max="15111" width="5.8515625" style="1" customWidth="1"/>
    <col min="15112" max="15112" width="11.28125" style="1" customWidth="1"/>
    <col min="15113" max="15113" width="12.00390625" style="1" customWidth="1"/>
    <col min="15114" max="15114" width="10.28125" style="1" customWidth="1"/>
    <col min="15115" max="15115" width="12.00390625" style="1" customWidth="1"/>
    <col min="15116" max="15116" width="12.28125" style="1" customWidth="1"/>
    <col min="15117" max="15117" width="11.7109375" style="1" customWidth="1"/>
    <col min="15118" max="15128" width="12.140625" style="1" customWidth="1"/>
    <col min="15129" max="15178" width="12.140625" style="1" hidden="1" customWidth="1"/>
    <col min="15179" max="15360" width="12.140625" style="1" customWidth="1"/>
    <col min="15361" max="15361" width="4.00390625" style="1" customWidth="1"/>
    <col min="15362" max="15362" width="14.28125" style="1" customWidth="1"/>
    <col min="15363" max="15363" width="62.421875" style="1" customWidth="1"/>
    <col min="15364" max="15364" width="15.8515625" style="1" customWidth="1"/>
    <col min="15365" max="15365" width="10.8515625" style="1" customWidth="1"/>
    <col min="15366" max="15366" width="75.57421875" style="1" customWidth="1"/>
    <col min="15367" max="15367" width="5.8515625" style="1" customWidth="1"/>
    <col min="15368" max="15368" width="11.28125" style="1" customWidth="1"/>
    <col min="15369" max="15369" width="12.00390625" style="1" customWidth="1"/>
    <col min="15370" max="15370" width="10.28125" style="1" customWidth="1"/>
    <col min="15371" max="15371" width="12.00390625" style="1" customWidth="1"/>
    <col min="15372" max="15372" width="12.28125" style="1" customWidth="1"/>
    <col min="15373" max="15373" width="11.7109375" style="1" customWidth="1"/>
    <col min="15374" max="15384" width="12.140625" style="1" customWidth="1"/>
    <col min="15385" max="15434" width="12.140625" style="1" hidden="1" customWidth="1"/>
    <col min="15435" max="15616" width="12.140625" style="1" customWidth="1"/>
    <col min="15617" max="15617" width="4.00390625" style="1" customWidth="1"/>
    <col min="15618" max="15618" width="14.28125" style="1" customWidth="1"/>
    <col min="15619" max="15619" width="62.421875" style="1" customWidth="1"/>
    <col min="15620" max="15620" width="15.8515625" style="1" customWidth="1"/>
    <col min="15621" max="15621" width="10.8515625" style="1" customWidth="1"/>
    <col min="15622" max="15622" width="75.57421875" style="1" customWidth="1"/>
    <col min="15623" max="15623" width="5.8515625" style="1" customWidth="1"/>
    <col min="15624" max="15624" width="11.28125" style="1" customWidth="1"/>
    <col min="15625" max="15625" width="12.00390625" style="1" customWidth="1"/>
    <col min="15626" max="15626" width="10.28125" style="1" customWidth="1"/>
    <col min="15627" max="15627" width="12.00390625" style="1" customWidth="1"/>
    <col min="15628" max="15628" width="12.28125" style="1" customWidth="1"/>
    <col min="15629" max="15629" width="11.7109375" style="1" customWidth="1"/>
    <col min="15630" max="15640" width="12.140625" style="1" customWidth="1"/>
    <col min="15641" max="15690" width="12.140625" style="1" hidden="1" customWidth="1"/>
    <col min="15691" max="15872" width="12.140625" style="1" customWidth="1"/>
    <col min="15873" max="15873" width="4.00390625" style="1" customWidth="1"/>
    <col min="15874" max="15874" width="14.28125" style="1" customWidth="1"/>
    <col min="15875" max="15875" width="62.421875" style="1" customWidth="1"/>
    <col min="15876" max="15876" width="15.8515625" style="1" customWidth="1"/>
    <col min="15877" max="15877" width="10.8515625" style="1" customWidth="1"/>
    <col min="15878" max="15878" width="75.57421875" style="1" customWidth="1"/>
    <col min="15879" max="15879" width="5.8515625" style="1" customWidth="1"/>
    <col min="15880" max="15880" width="11.28125" style="1" customWidth="1"/>
    <col min="15881" max="15881" width="12.00390625" style="1" customWidth="1"/>
    <col min="15882" max="15882" width="10.28125" style="1" customWidth="1"/>
    <col min="15883" max="15883" width="12.00390625" style="1" customWidth="1"/>
    <col min="15884" max="15884" width="12.28125" style="1" customWidth="1"/>
    <col min="15885" max="15885" width="11.7109375" style="1" customWidth="1"/>
    <col min="15886" max="15896" width="12.140625" style="1" customWidth="1"/>
    <col min="15897" max="15946" width="12.140625" style="1" hidden="1" customWidth="1"/>
    <col min="15947" max="16128" width="12.140625" style="1" customWidth="1"/>
    <col min="16129" max="16129" width="4.00390625" style="1" customWidth="1"/>
    <col min="16130" max="16130" width="14.28125" style="1" customWidth="1"/>
    <col min="16131" max="16131" width="62.421875" style="1" customWidth="1"/>
    <col min="16132" max="16132" width="15.8515625" style="1" customWidth="1"/>
    <col min="16133" max="16133" width="10.8515625" style="1" customWidth="1"/>
    <col min="16134" max="16134" width="75.57421875" style="1" customWidth="1"/>
    <col min="16135" max="16135" width="5.8515625" style="1" customWidth="1"/>
    <col min="16136" max="16136" width="11.28125" style="1" customWidth="1"/>
    <col min="16137" max="16137" width="12.00390625" style="1" customWidth="1"/>
    <col min="16138" max="16138" width="10.28125" style="1" customWidth="1"/>
    <col min="16139" max="16139" width="12.00390625" style="1" customWidth="1"/>
    <col min="16140" max="16140" width="12.28125" style="1" customWidth="1"/>
    <col min="16141" max="16141" width="11.7109375" style="1" customWidth="1"/>
    <col min="16142" max="16152" width="12.140625" style="1" customWidth="1"/>
    <col min="16153" max="16202" width="12.140625" style="1" hidden="1" customWidth="1"/>
    <col min="16203" max="16384" width="12.140625" style="1" customWidth="1"/>
  </cols>
  <sheetData>
    <row r="1" spans="1:13" ht="54.75" customHeight="1">
      <c r="A1" s="136" t="str">
        <f>C4</f>
        <v>SO 801 – Sadové úpravy ul. Hasskova a Martinské nám.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5" customHeight="1">
      <c r="A2" s="137" t="s">
        <v>0</v>
      </c>
      <c r="B2" s="138"/>
      <c r="C2" s="139" t="s">
        <v>1</v>
      </c>
      <c r="D2" s="138" t="s">
        <v>2</v>
      </c>
      <c r="E2" s="138" t="s">
        <v>3</v>
      </c>
      <c r="F2" s="142" t="s">
        <v>4</v>
      </c>
      <c r="G2" s="142" t="s">
        <v>5</v>
      </c>
      <c r="H2" s="138"/>
      <c r="I2" s="138"/>
      <c r="J2" s="138"/>
      <c r="K2" s="138"/>
      <c r="L2" s="138"/>
      <c r="M2" s="143"/>
    </row>
    <row r="3" spans="1:13" ht="15" customHeight="1">
      <c r="A3" s="134"/>
      <c r="B3" s="115"/>
      <c r="C3" s="141"/>
      <c r="D3" s="115"/>
      <c r="E3" s="115"/>
      <c r="F3" s="115"/>
      <c r="G3" s="115"/>
      <c r="H3" s="115"/>
      <c r="I3" s="115"/>
      <c r="J3" s="115"/>
      <c r="K3" s="115"/>
      <c r="L3" s="115"/>
      <c r="M3" s="133"/>
    </row>
    <row r="4" spans="1:13" ht="15" customHeight="1">
      <c r="A4" s="129" t="s">
        <v>6</v>
      </c>
      <c r="B4" s="115"/>
      <c r="C4" s="178" t="s">
        <v>1286</v>
      </c>
      <c r="D4" s="115" t="s">
        <v>8</v>
      </c>
      <c r="E4" s="115"/>
      <c r="F4" s="114" t="s">
        <v>9</v>
      </c>
      <c r="G4" s="178" t="s">
        <v>1287</v>
      </c>
      <c r="H4" s="115"/>
      <c r="I4" s="115"/>
      <c r="J4" s="115"/>
      <c r="K4" s="115"/>
      <c r="L4" s="115"/>
      <c r="M4" s="133"/>
    </row>
    <row r="5" spans="1:13" ht="15" customHeight="1">
      <c r="A5" s="13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33"/>
    </row>
    <row r="6" spans="1:13" ht="15" customHeight="1">
      <c r="A6" s="129" t="s">
        <v>11</v>
      </c>
      <c r="B6" s="115"/>
      <c r="C6" s="114" t="s">
        <v>12</v>
      </c>
      <c r="D6" s="115" t="s">
        <v>13</v>
      </c>
      <c r="E6" s="115" t="s">
        <v>3</v>
      </c>
      <c r="F6" s="114" t="s">
        <v>14</v>
      </c>
      <c r="G6" s="115" t="s">
        <v>15</v>
      </c>
      <c r="H6" s="115"/>
      <c r="I6" s="115"/>
      <c r="J6" s="115"/>
      <c r="K6" s="115"/>
      <c r="L6" s="115"/>
      <c r="M6" s="133"/>
    </row>
    <row r="7" spans="1:13" ht="15" customHeight="1">
      <c r="A7" s="13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33"/>
    </row>
    <row r="8" spans="1:13" ht="15" customHeight="1">
      <c r="A8" s="129" t="s">
        <v>16</v>
      </c>
      <c r="B8" s="115"/>
      <c r="C8" s="114" t="s">
        <v>3</v>
      </c>
      <c r="D8" s="115" t="s">
        <v>17</v>
      </c>
      <c r="E8" s="115" t="s">
        <v>18</v>
      </c>
      <c r="F8" s="114" t="s">
        <v>19</v>
      </c>
      <c r="G8" s="178" t="s">
        <v>1287</v>
      </c>
      <c r="H8" s="115"/>
      <c r="I8" s="115"/>
      <c r="J8" s="115"/>
      <c r="K8" s="115"/>
      <c r="L8" s="115"/>
      <c r="M8" s="133"/>
    </row>
    <row r="9" spans="1:13" ht="15" customHeight="1" thickBot="1">
      <c r="A9" s="13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33"/>
    </row>
    <row r="10" spans="1:64" ht="15" customHeight="1">
      <c r="A10" s="5" t="s">
        <v>21</v>
      </c>
      <c r="B10" s="6" t="s">
        <v>22</v>
      </c>
      <c r="C10" s="145" t="s">
        <v>23</v>
      </c>
      <c r="D10" s="145"/>
      <c r="E10" s="145"/>
      <c r="F10" s="146"/>
      <c r="G10" s="6" t="s">
        <v>24</v>
      </c>
      <c r="H10" s="7" t="s">
        <v>25</v>
      </c>
      <c r="I10" s="8" t="s">
        <v>26</v>
      </c>
      <c r="J10" s="173" t="s">
        <v>27</v>
      </c>
      <c r="K10" s="174"/>
      <c r="L10" s="175"/>
      <c r="M10" s="9" t="s">
        <v>28</v>
      </c>
      <c r="BK10" s="10" t="s">
        <v>29</v>
      </c>
      <c r="BL10" s="11" t="s">
        <v>30</v>
      </c>
    </row>
    <row r="11" spans="1:62" ht="15" customHeight="1">
      <c r="A11" s="48" t="s">
        <v>3</v>
      </c>
      <c r="B11" s="4" t="s">
        <v>3</v>
      </c>
      <c r="C11" s="141" t="s">
        <v>31</v>
      </c>
      <c r="D11" s="141"/>
      <c r="E11" s="141"/>
      <c r="F11" s="176"/>
      <c r="G11" s="4" t="s">
        <v>3</v>
      </c>
      <c r="H11" s="4" t="s">
        <v>3</v>
      </c>
      <c r="I11" s="49" t="s">
        <v>32</v>
      </c>
      <c r="J11" s="50" t="s">
        <v>33</v>
      </c>
      <c r="K11" s="51" t="s">
        <v>34</v>
      </c>
      <c r="L11" s="52" t="s">
        <v>35</v>
      </c>
      <c r="M11" s="52" t="s">
        <v>36</v>
      </c>
      <c r="Z11" s="10" t="s">
        <v>37</v>
      </c>
      <c r="AA11" s="10" t="s">
        <v>38</v>
      </c>
      <c r="AB11" s="10" t="s">
        <v>39</v>
      </c>
      <c r="AC11" s="10" t="s">
        <v>40</v>
      </c>
      <c r="AD11" s="10" t="s">
        <v>41</v>
      </c>
      <c r="AE11" s="10" t="s">
        <v>42</v>
      </c>
      <c r="AF11" s="10" t="s">
        <v>43</v>
      </c>
      <c r="AG11" s="10" t="s">
        <v>44</v>
      </c>
      <c r="AH11" s="10" t="s">
        <v>45</v>
      </c>
      <c r="BH11" s="10" t="s">
        <v>46</v>
      </c>
      <c r="BI11" s="10" t="s">
        <v>47</v>
      </c>
      <c r="BJ11" s="10" t="s">
        <v>48</v>
      </c>
    </row>
    <row r="12" spans="1:47" ht="15" customHeight="1">
      <c r="A12" s="53" t="s">
        <v>49</v>
      </c>
      <c r="B12" s="54"/>
      <c r="C12" s="177" t="str">
        <f>C4</f>
        <v>SO 801 – Sadové úpravy ul. Hasskova a Martinské nám.</v>
      </c>
      <c r="D12" s="177"/>
      <c r="E12" s="177"/>
      <c r="F12" s="177"/>
      <c r="G12" s="55" t="s">
        <v>3</v>
      </c>
      <c r="H12" s="55" t="s">
        <v>3</v>
      </c>
      <c r="I12" s="55" t="s">
        <v>3</v>
      </c>
      <c r="J12" s="56">
        <f>SUM(J13:J13)</f>
        <v>0</v>
      </c>
      <c r="K12" s="56">
        <f>SUM(K13:K13)</f>
        <v>0</v>
      </c>
      <c r="L12" s="56">
        <f>L13</f>
        <v>0</v>
      </c>
      <c r="M12" s="57" t="s">
        <v>49</v>
      </c>
      <c r="AI12" s="10" t="s">
        <v>49</v>
      </c>
      <c r="AS12" s="19">
        <f>SUM(AJ13:AJ13)</f>
        <v>0</v>
      </c>
      <c r="AT12" s="19">
        <f>SUM(AK13:AK13)</f>
        <v>0</v>
      </c>
      <c r="AU12" s="19">
        <f>SUM(AL13:AL13)</f>
        <v>0</v>
      </c>
    </row>
    <row r="13" spans="1:64" ht="15" customHeight="1">
      <c r="A13" s="58" t="s">
        <v>52</v>
      </c>
      <c r="B13" s="3"/>
      <c r="C13" s="115" t="str">
        <f>C4</f>
        <v>SO 801 – Sadové úpravy ul. Hasskova a Martinské nám.</v>
      </c>
      <c r="D13" s="115"/>
      <c r="E13" s="115"/>
      <c r="F13" s="115"/>
      <c r="G13" s="3" t="s">
        <v>1185</v>
      </c>
      <c r="H13" s="20">
        <v>1</v>
      </c>
      <c r="I13" s="106"/>
      <c r="J13" s="20">
        <f>H13*AO13</f>
        <v>0</v>
      </c>
      <c r="K13" s="20">
        <f>H13*AP13</f>
        <v>0</v>
      </c>
      <c r="L13" s="20">
        <f>H13*I13</f>
        <v>0</v>
      </c>
      <c r="M13" s="59"/>
      <c r="Z13" s="20">
        <f>IF(AQ13="5",BJ13,0)</f>
        <v>0</v>
      </c>
      <c r="AB13" s="20">
        <f>IF(AQ13="1",BH13,0)</f>
        <v>0</v>
      </c>
      <c r="AC13" s="20">
        <f>IF(AQ13="1",BI13,0)</f>
        <v>0</v>
      </c>
      <c r="AD13" s="20">
        <f>IF(AQ13="7",BH13,0)</f>
        <v>0</v>
      </c>
      <c r="AE13" s="20">
        <f>IF(AQ13="7",BI13,0)</f>
        <v>0</v>
      </c>
      <c r="AF13" s="20">
        <f>IF(AQ13="2",BH13,0)</f>
        <v>0</v>
      </c>
      <c r="AG13" s="20">
        <f>IF(AQ13="2",BI13,0)</f>
        <v>0</v>
      </c>
      <c r="AH13" s="20">
        <f>IF(AQ13="0",BJ13,0)</f>
        <v>0</v>
      </c>
      <c r="AI13" s="10" t="s">
        <v>49</v>
      </c>
      <c r="AJ13" s="20">
        <f>IF(AN13=0,L13,0)</f>
        <v>0</v>
      </c>
      <c r="AK13" s="20">
        <f>IF(AN13=15,L13,0)</f>
        <v>0</v>
      </c>
      <c r="AL13" s="20">
        <f>IF(AN13=21,L13,0)</f>
        <v>0</v>
      </c>
      <c r="AN13" s="20">
        <v>21</v>
      </c>
      <c r="AO13" s="20">
        <f>I13*0</f>
        <v>0</v>
      </c>
      <c r="AP13" s="20">
        <f>I13*(1-0)</f>
        <v>0</v>
      </c>
      <c r="AQ13" s="21" t="s">
        <v>52</v>
      </c>
      <c r="AV13" s="20">
        <f>AW13+AX13</f>
        <v>0</v>
      </c>
      <c r="AW13" s="20">
        <f>H13*AO13</f>
        <v>0</v>
      </c>
      <c r="AX13" s="20">
        <f>H13*AP13</f>
        <v>0</v>
      </c>
      <c r="AY13" s="21" t="s">
        <v>56</v>
      </c>
      <c r="AZ13" s="21" t="s">
        <v>57</v>
      </c>
      <c r="BA13" s="10" t="s">
        <v>58</v>
      </c>
      <c r="BC13" s="20">
        <f>AW13+AX13</f>
        <v>0</v>
      </c>
      <c r="BD13" s="20">
        <f>I13/(100-BE13)*100</f>
        <v>0</v>
      </c>
      <c r="BE13" s="20">
        <v>0</v>
      </c>
      <c r="BF13" s="20">
        <f>13</f>
        <v>13</v>
      </c>
      <c r="BH13" s="20">
        <f>H13*AO13</f>
        <v>0</v>
      </c>
      <c r="BI13" s="20">
        <f>H13*AP13</f>
        <v>0</v>
      </c>
      <c r="BJ13" s="20">
        <f>H13*I13</f>
        <v>0</v>
      </c>
      <c r="BK13" s="20"/>
      <c r="BL13" s="20">
        <v>11</v>
      </c>
    </row>
    <row r="14" spans="1:13" ht="15" customHeight="1">
      <c r="A14" s="60"/>
      <c r="B14" s="61"/>
      <c r="C14" s="61"/>
      <c r="D14" s="61"/>
      <c r="E14" s="61"/>
      <c r="F14" s="61"/>
      <c r="G14" s="61"/>
      <c r="H14" s="61"/>
      <c r="I14" s="61"/>
      <c r="J14" s="172" t="s">
        <v>1081</v>
      </c>
      <c r="K14" s="172"/>
      <c r="L14" s="62">
        <f>L13</f>
        <v>0</v>
      </c>
      <c r="M14" s="63"/>
    </row>
  </sheetData>
  <sheetProtection algorithmName="SHA-512" hashValue="HzMF6sj338VbwpJrel2fMylVz3rr2ci7FQLDcLVVB0If5Fum1GxyW0C26P3dW8nTvqL7JiPRGuHmS8yblzokLQ==" saltValue="K/SJHtiiZCFsk8+YHa+oiA==" spinCount="100000" sheet="1" objects="1" scenarios="1"/>
  <mergeCells count="31">
    <mergeCell ref="A1:M1"/>
    <mergeCell ref="A2:B3"/>
    <mergeCell ref="C2:C3"/>
    <mergeCell ref="D2:D3"/>
    <mergeCell ref="E2:E3"/>
    <mergeCell ref="F2:F3"/>
    <mergeCell ref="G2:M3"/>
    <mergeCell ref="G6:M7"/>
    <mergeCell ref="A4:B5"/>
    <mergeCell ref="C4:C5"/>
    <mergeCell ref="D4:D5"/>
    <mergeCell ref="E4:E5"/>
    <mergeCell ref="F4:F5"/>
    <mergeCell ref="G4:M5"/>
    <mergeCell ref="A6:B7"/>
    <mergeCell ref="C6:C7"/>
    <mergeCell ref="D6:D7"/>
    <mergeCell ref="E6:E7"/>
    <mergeCell ref="F6:F7"/>
    <mergeCell ref="J14:K14"/>
    <mergeCell ref="A8:B9"/>
    <mergeCell ref="C8:C9"/>
    <mergeCell ref="D8:D9"/>
    <mergeCell ref="E8:E9"/>
    <mergeCell ref="F8:F9"/>
    <mergeCell ref="G8:M9"/>
    <mergeCell ref="C10:F10"/>
    <mergeCell ref="J10:L10"/>
    <mergeCell ref="C11:F11"/>
    <mergeCell ref="C12:F12"/>
    <mergeCell ref="C13:F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Nevoralová Jana, Ing.</cp:lastModifiedBy>
  <dcterms:created xsi:type="dcterms:W3CDTF">2023-01-17T07:29:04Z</dcterms:created>
  <dcterms:modified xsi:type="dcterms:W3CDTF">2023-02-02T09:20:36Z</dcterms:modified>
  <cp:category/>
  <cp:version/>
  <cp:contentType/>
  <cp:contentStatus/>
</cp:coreProperties>
</file>